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02" firstSheet="7" activeTab="9"/>
  </bookViews>
  <sheets>
    <sheet name="pg 72 Annuities" sheetId="1" r:id="rId1"/>
    <sheet name="pg 72 Annuities Formula" sheetId="2" r:id="rId2"/>
    <sheet name="pg 78 RRSP" sheetId="3" r:id="rId3"/>
    <sheet name="pg 79 RRSP Formula" sheetId="4" r:id="rId4"/>
    <sheet name="pg 90 Leasing" sheetId="5" r:id="rId5"/>
    <sheet name="pg 91 Leasing Formula" sheetId="6" r:id="rId6"/>
    <sheet name="pg 100 Mortgage Amounts" sheetId="7" r:id="rId7"/>
    <sheet name="pg 100 Mortgage Amounts Formula" sheetId="8" r:id="rId8"/>
    <sheet name="pg 101 Mortgage Payments" sheetId="9" r:id="rId9"/>
    <sheet name="pg101 Mortgage Payments Formula" sheetId="10" r:id="rId10"/>
  </sheets>
  <definedNames>
    <definedName name="Accessories">'pg 90 Leasing'!$E$10</definedName>
    <definedName name="additional_investment">'pg 78 RRSP'!$D$9</definedName>
    <definedName name="amortization">'pg 100 Mortgage Amounts'!$I$14</definedName>
    <definedName name="annual_finance_interest">'pg 90 Leasing'!$J$22</definedName>
    <definedName name="annual_gross_income">'pg 100 Mortgage Amounts'!$E$4</definedName>
    <definedName name="annual_lease_interest">'pg 90 Leasing'!$J$33</definedName>
    <definedName name="annual_prop_tax">'pg 100 Mortgage Amounts'!$I$19</definedName>
    <definedName name="avg_annual_depreciate_rate">'pg 90 Leasing'!$J$39</definedName>
    <definedName name="biweekly_Eff_rate">'pg 101 Mortgage Payments'!$E$11</definedName>
    <definedName name="biweekly_N">'pg 101 Mortgage Payments'!$E$12</definedName>
    <definedName name="biweekly_payment">'pg 101 Mortgage Payments'!$E$14</definedName>
    <definedName name="capital_gain_tax_portion">'pg 78 RRSP'!$D$5</definedName>
    <definedName name="car_payments">'pg 100 Mortgage Amounts'!$I$4</definedName>
    <definedName name="credit_cards">'pg 100 Mortgage Amounts'!$I$5</definedName>
    <definedName name="down_payment">'pg 90 Leasing'!$J$5</definedName>
    <definedName name="Eff_rate">'pg 100 Mortgage Amounts'!$I$16</definedName>
    <definedName name="Fee">'pg 90 Leasing'!$E$8</definedName>
    <definedName name="final_lease_cost">'pg 90 Leasing'!$J$28</definedName>
    <definedName name="finance_amount">'pg 90 Leasing'!$J$7</definedName>
    <definedName name="finance_cost">'pg 90 Leasing'!$J$17</definedName>
    <definedName name="finance_months">'pg 90 Leasing'!$J$9</definedName>
    <definedName name="finance_payment">'pg 90 Leasing'!$J$12</definedName>
    <definedName name="finance_rate">'pg 90 Leasing'!$J$10</definedName>
    <definedName name="heating">'pg 100 Mortgage Amounts'!$E$18</definedName>
    <definedName name="house_expenses_rate">'pg 100 Mortgage Amounts'!$E$7</definedName>
    <definedName name="house_price">'pg 101 Mortgage Payments'!$B$4</definedName>
    <definedName name="income_tax_rate">'pg 78 RRSP'!$D$6</definedName>
    <definedName name="income_tax_saving">'pg 78 RRSP'!$D$8</definedName>
    <definedName name="interest_rate">'pg 78 RRSP'!$D$4</definedName>
    <definedName name="lease_amount">'pg 90 Leasing'!$E$25</definedName>
    <definedName name="lease_interest">'pg 90 Leasing'!$J$31</definedName>
    <definedName name="lease_months">'pg 90 Leasing'!$E$27</definedName>
    <definedName name="lease_payment">'pg 90 Leasing'!$J$26</definedName>
    <definedName name="leasing_cost">'pg 90 Leasing'!$J$27</definedName>
    <definedName name="liability_difference">'pg 100 Mortgage Amounts'!$E$12</definedName>
    <definedName name="max_house_expenses">'pg 100 Mortgage Amounts'!$E$8</definedName>
    <definedName name="max_liability">'pg 100 Mortgage Amounts'!$E$11</definedName>
    <definedName name="max_liability_rate">'pg 100 Mortgage Amounts'!$E$10</definedName>
    <definedName name="max_mortgage">'pg 100 Mortgage Amounts'!$I$17</definedName>
    <definedName name="max_mortgage_Pmt">'pg 100 Mortgage Amounts'!$E$19</definedName>
    <definedName name="mill_rate">'pg 100 Mortgage Amounts'!$E$16</definedName>
    <definedName name="monthly_Eff_rate">'pg 101 Mortgage Payments'!$B$11</definedName>
    <definedName name="monthly_gross_income">'pg 100 Mortgage Amounts'!$E$5</definedName>
    <definedName name="monthly_N">'pg 101 Mortgage Payments'!$B$12</definedName>
    <definedName name="monthly_payment">'pg 101 Mortgage Payments'!$B$14</definedName>
    <definedName name="mortgage">'pg 101 Mortgage Payments'!$B$6</definedName>
    <definedName name="mortgage_r">'pg 101 Mortgage Payments'!$B$7</definedName>
    <definedName name="mortgage_rate">'pg 100 Mortgage Amounts'!$I$15</definedName>
    <definedName name="MSRP">'pg 90 Leasing'!$E$4</definedName>
    <definedName name="n">'pg 72 Annuities'!$C$5</definedName>
    <definedName name="net_tax_saving">'pg 78 RRSP'!$D$10</definedName>
    <definedName name="other_liability">'pg 100 Mortgage Amounts'!$I$8</definedName>
    <definedName name="personal_loans">'pg 100 Mortgage Amounts'!$I$6</definedName>
    <definedName name="principal">'pg 72 Annuities'!$C$3</definedName>
    <definedName name="principle">'pg 78 RRSP'!$D$3</definedName>
    <definedName name="_xlnm.Print_Area" localSheetId="6">'pg 100 Mortgage Amounts'!$A$1:$J$29</definedName>
    <definedName name="_xlnm.Print_Area" localSheetId="7">'pg 100 Mortgage Amounts Formula'!$A$1:$J$29</definedName>
    <definedName name="_xlnm.Print_Area" localSheetId="8">'pg 101 Mortgage Payments'!$A$1:$I$25</definedName>
    <definedName name="_xlnm.Print_Area" localSheetId="1">'pg 72 Annuities Formula'!$A$1:$F$39</definedName>
    <definedName name="_xlnm.Print_Area" localSheetId="2">'pg 78 RRSP'!$A$1:$L$55</definedName>
    <definedName name="_xlnm.Print_Area" localSheetId="3">'pg 79 RRSP Formula'!$A$1:$K$55</definedName>
    <definedName name="_xlnm.Print_Area" localSheetId="4">'pg 90 Leasing'!$A$1:$K$53</definedName>
    <definedName name="_xlnm.Print_Area" localSheetId="5">'pg 91 Leasing Formula'!$A$1:$J$53</definedName>
    <definedName name="_xlnm.Print_Area" localSheetId="9">'pg101 Mortgage Payments Formula'!$A$1:$I$25</definedName>
    <definedName name="purchase_cost">'pg 90 Leasing'!$J$18</definedName>
    <definedName name="purchase_price">'pg 90 Leasing'!$E$12</definedName>
    <definedName name="rate">'pg 72 Annuities'!$C$4</definedName>
    <definedName name="regular_contribution">'pg 72 Annuities'!$C$6</definedName>
    <definedName name="regular_payment">'pg 72 Annuities'!$C$6</definedName>
    <definedName name="residual">'pg 90 Leasing'!$E$30</definedName>
    <definedName name="residual_rate">'pg 90 Leasing'!$E$29</definedName>
    <definedName name="Shipping">'pg 90 Leasing'!$E$7</definedName>
    <definedName name="student_loans">'pg 100 Mortgage Amounts'!$I$7</definedName>
    <definedName name="Tire_AC_Tax">'pg 90 Leasing'!$E$9</definedName>
    <definedName name="total_liability">'pg 100 Mortgage Amounts'!$I$10</definedName>
  </definedNames>
  <calcPr fullCalcOnLoad="1"/>
</workbook>
</file>

<file path=xl/sharedStrings.xml><?xml version="1.0" encoding="utf-8"?>
<sst xmlns="http://schemas.openxmlformats.org/spreadsheetml/2006/main" count="470" uniqueCount="190">
  <si>
    <t>Principal</t>
  </si>
  <si>
    <t>Interest Rate</t>
  </si>
  <si>
    <t>Compunding Periods Per Year</t>
  </si>
  <si>
    <t>Additional Regular Payment</t>
  </si>
  <si>
    <t>Year</t>
  </si>
  <si>
    <t>Opening Balance</t>
  </si>
  <si>
    <t>Interest</t>
  </si>
  <si>
    <t>Payment</t>
  </si>
  <si>
    <t>Closing Balance</t>
  </si>
  <si>
    <t>Total Interest</t>
  </si>
  <si>
    <t>Total Amount Invested</t>
  </si>
  <si>
    <t>Final Closing Balance</t>
  </si>
  <si>
    <t>4-1: Lump Sum with Annuities</t>
  </si>
  <si>
    <t>Special Name Boxes</t>
  </si>
  <si>
    <t>C3 = principal</t>
  </si>
  <si>
    <t>C4 = rate</t>
  </si>
  <si>
    <t>C5 = n</t>
  </si>
  <si>
    <t>C6 = regular_payment</t>
  </si>
  <si>
    <t>4-2: Comparing RRSP's with Non-Registered Investments</t>
  </si>
  <si>
    <t>Capital Gain Tax</t>
  </si>
  <si>
    <t>Non-Registered Investment Earnings X Capital Gain Tax Portion X Marginal Tax Rate</t>
  </si>
  <si>
    <t>Capital Gain Tax Portion</t>
  </si>
  <si>
    <t>Average Income Tax (Marginal Tax) Rate</t>
  </si>
  <si>
    <t>Saving on Income Tax Return</t>
  </si>
  <si>
    <t>Amount from Income Tax Saving into initial RRSP</t>
  </si>
  <si>
    <t>Net Present Tax Saving</t>
  </si>
  <si>
    <t>Note: Assuming Capital Gain Tax is taken out each period.</t>
  </si>
  <si>
    <t>Registered Plan</t>
  </si>
  <si>
    <t>Non-Registered Plan</t>
  </si>
  <si>
    <t>Total Capital Gain Tax Paid</t>
  </si>
  <si>
    <t>Net Gain</t>
  </si>
  <si>
    <t>D4 = interest_rate</t>
  </si>
  <si>
    <t>D5 = capital_gain_tax_portion</t>
  </si>
  <si>
    <t>D6 = income_tax_rate</t>
  </si>
  <si>
    <t>Total Invested</t>
  </si>
  <si>
    <t>D8 = income_tax_saving</t>
  </si>
  <si>
    <t>Average Income Tax (Marginal Tax) at Withdrawal</t>
  </si>
  <si>
    <t>D9 = additional_investment</t>
  </si>
  <si>
    <t>D10 = net_tax_saving</t>
  </si>
  <si>
    <t>Average Annual Rate of Return</t>
  </si>
  <si>
    <t>4-4: Leasing and Financing a Vehicle</t>
  </si>
  <si>
    <t>Purchasing</t>
  </si>
  <si>
    <t>Financing</t>
  </si>
  <si>
    <t>MSRP (Manufacturer Suggested Retail Price)</t>
  </si>
  <si>
    <t>Total Purchase Price</t>
  </si>
  <si>
    <t>GST</t>
  </si>
  <si>
    <t>Down Payment</t>
  </si>
  <si>
    <t>Freights and Shippings</t>
  </si>
  <si>
    <t>Finance Amount</t>
  </si>
  <si>
    <t>Documentation and Administration Fee</t>
  </si>
  <si>
    <t>Tire &amp; Air Conditioning Tax</t>
  </si>
  <si>
    <t>Number of Months</t>
  </si>
  <si>
    <t>Additional Accessories</t>
  </si>
  <si>
    <t>Finance Rate</t>
  </si>
  <si>
    <t>Monthly Payment</t>
  </si>
  <si>
    <t>Leasing</t>
  </si>
  <si>
    <t>Final Analysis</t>
  </si>
  <si>
    <t>FINANCING</t>
  </si>
  <si>
    <t>Total Finance Cost</t>
  </si>
  <si>
    <t>Total Purchase Cost</t>
  </si>
  <si>
    <t>Total Finance Interest Paid</t>
  </si>
  <si>
    <t>Total Price Before Tax</t>
  </si>
  <si>
    <t>Average Annual Interest</t>
  </si>
  <si>
    <t>Down Payment Before Tax</t>
  </si>
  <si>
    <t>Average Annual Interest Rate</t>
  </si>
  <si>
    <t>Leasing Amount</t>
  </si>
  <si>
    <t>LEASING</t>
  </si>
  <si>
    <t>Lease Payment before GST (Enter Value)</t>
  </si>
  <si>
    <t>Total Leasing Cost (before GST)</t>
  </si>
  <si>
    <t>Total Leasing Cost (with GST)</t>
  </si>
  <si>
    <t>Residual Rate</t>
  </si>
  <si>
    <t>Residual Amount</t>
  </si>
  <si>
    <t>Total Lease Interest Paid</t>
  </si>
  <si>
    <t>To Solve for Leasing Rate</t>
  </si>
  <si>
    <t>To Solve for Leasing Payment</t>
  </si>
  <si>
    <t>Lease Payment (Enter Value)</t>
  </si>
  <si>
    <t>Lease Rate       (Enter Value)</t>
  </si>
  <si>
    <t>Lease Rate (Calculated)</t>
  </si>
  <si>
    <t>Lease Payment (Calculated)</t>
  </si>
  <si>
    <t>Lease Payment (with GST)</t>
  </si>
  <si>
    <t>DEPRECIATION (based on residual)</t>
  </si>
  <si>
    <t>Number of Leased Months</t>
  </si>
  <si>
    <t>E4 = MSRP</t>
  </si>
  <si>
    <t>J9 = finance_months</t>
  </si>
  <si>
    <t>Average Annual Depreciation Rate</t>
  </si>
  <si>
    <t>E5 = GST</t>
  </si>
  <si>
    <t>J10 = finance_rate</t>
  </si>
  <si>
    <t>E7 = Shipping</t>
  </si>
  <si>
    <t>J12 = finance_payment</t>
  </si>
  <si>
    <t>Age of the Vehicle in Years (Enter Value)</t>
  </si>
  <si>
    <t>E8 = Fee</t>
  </si>
  <si>
    <t>J17 = finance_cost</t>
  </si>
  <si>
    <t>Future Value of the Vehicle (Calculated)</t>
  </si>
  <si>
    <t>E9 = Tire_AC_Tax</t>
  </si>
  <si>
    <t>J18 = purchase_cost</t>
  </si>
  <si>
    <t>E10 = Accessories</t>
  </si>
  <si>
    <t>J20 = finance_interest</t>
  </si>
  <si>
    <t>E12 = purchase_price</t>
  </si>
  <si>
    <t>J22 = annual_finance_interest</t>
  </si>
  <si>
    <t>E23 = lease_amount</t>
  </si>
  <si>
    <t>J26 = lease_payment</t>
  </si>
  <si>
    <t>E27 = lease_months</t>
  </si>
  <si>
    <t>J27 = leasing_cost</t>
  </si>
  <si>
    <t>E29 = residual_rate</t>
  </si>
  <si>
    <t>J28 = final_lease_cost</t>
  </si>
  <si>
    <t>E30 = residual</t>
  </si>
  <si>
    <t>J31 = lease_interest</t>
  </si>
  <si>
    <t>J5 = down_payment</t>
  </si>
  <si>
    <t>J33 = annual_lease_interest</t>
  </si>
  <si>
    <t>J7 = finance_amount</t>
  </si>
  <si>
    <t>J39 = avg_annual_depreciation rate</t>
  </si>
  <si>
    <t>Basic Information</t>
  </si>
  <si>
    <t>Montly Liabilities List</t>
  </si>
  <si>
    <t>Annual Family Gross Income</t>
  </si>
  <si>
    <t>Car Payments</t>
  </si>
  <si>
    <t>Monthly Family Gross Income</t>
  </si>
  <si>
    <t>Credit Cards</t>
  </si>
  <si>
    <t>Personal Line of Credit</t>
  </si>
  <si>
    <t>Maximum Rate House Related Expenses</t>
  </si>
  <si>
    <t>Student Loan</t>
  </si>
  <si>
    <t>Maximum Monthly House Related Expenses</t>
  </si>
  <si>
    <t>Others</t>
  </si>
  <si>
    <t>Maximum Rate of Liability Allowed</t>
  </si>
  <si>
    <t>Total Monthly Liabilities</t>
  </si>
  <si>
    <t>Maximum Monthly Liability Amount Allowed</t>
  </si>
  <si>
    <t>Liabilities Difference</t>
  </si>
  <si>
    <t>Final Calculation</t>
  </si>
  <si>
    <t>Maximum Monthly House Related Expenses Allowed</t>
  </si>
  <si>
    <t>Amortization Period</t>
  </si>
  <si>
    <t>Mortgage Rate</t>
  </si>
  <si>
    <t>Property Tax Mill Rate</t>
  </si>
  <si>
    <t>Effective Rate</t>
  </si>
  <si>
    <t>Approximate Monthly Property Tax</t>
  </si>
  <si>
    <t>Pre-Approved Mortgage Amount</t>
  </si>
  <si>
    <t>Approxiamte Monthly Heating Cost</t>
  </si>
  <si>
    <t>Actual Annual Property Tax</t>
  </si>
  <si>
    <t>Actual Monthly Property Tax</t>
  </si>
  <si>
    <t>E4 = annual_gross_income</t>
  </si>
  <si>
    <t>E5 = monthly_gross_income</t>
  </si>
  <si>
    <t>E7 = house_expenses_rate</t>
  </si>
  <si>
    <t>E8 = max_house_expenses</t>
  </si>
  <si>
    <t>E10 = max_liability_rate</t>
  </si>
  <si>
    <t>E11 = max_liability</t>
  </si>
  <si>
    <t>E12 = liability_difference</t>
  </si>
  <si>
    <t>E16 = mill_rate</t>
  </si>
  <si>
    <t>E17 = approx_prop_tax</t>
  </si>
  <si>
    <t>E18 = heating</t>
  </si>
  <si>
    <t>E19 = max_mortgage_Pmt</t>
  </si>
  <si>
    <t xml:space="preserve">Final House Price </t>
  </si>
  <si>
    <t>Mortgage Amount</t>
  </si>
  <si>
    <t>Amortization (years)</t>
  </si>
  <si>
    <t>Monthly</t>
  </si>
  <si>
    <t>Biweekly</t>
  </si>
  <si>
    <t>Number of Payments</t>
  </si>
  <si>
    <t>Actual Amortization (years)</t>
  </si>
  <si>
    <t>Biweekly Payment</t>
  </si>
  <si>
    <t>Total House Cost</t>
  </si>
  <si>
    <t>Total Saving</t>
  </si>
  <si>
    <t>Total Interest Paid</t>
  </si>
  <si>
    <t>B4 = house_price</t>
  </si>
  <si>
    <t>B5 = down_payment</t>
  </si>
  <si>
    <t>B6 = mortgage</t>
  </si>
  <si>
    <t>B8 = amortization</t>
  </si>
  <si>
    <t>B11 = monthly_Eff_rate</t>
  </si>
  <si>
    <t>B12 = monthly_N</t>
  </si>
  <si>
    <t>B14 = monthly_payment</t>
  </si>
  <si>
    <t>E11 = biweekly_Eff_rate</t>
  </si>
  <si>
    <t>E12 = biweekly_N</t>
  </si>
  <si>
    <t>E14 = biweekly_payment</t>
  </si>
  <si>
    <t>Additional Regular Contribution</t>
  </si>
  <si>
    <t>Contribution</t>
  </si>
  <si>
    <t>C6 = regular_contribution</t>
  </si>
  <si>
    <t>D3 = principle</t>
  </si>
  <si>
    <t>ACTUAL Maximum Monthly Mortagage Payment Allowed</t>
  </si>
  <si>
    <t>I4 = car_payments</t>
  </si>
  <si>
    <t>I5 = credit_cards</t>
  </si>
  <si>
    <t>I6 = personal_loans</t>
  </si>
  <si>
    <t>I7 = student_loans</t>
  </si>
  <si>
    <t>I8 = other_liability</t>
  </si>
  <si>
    <t>I10 = total_liability</t>
  </si>
  <si>
    <t>I14 = amortization</t>
  </si>
  <si>
    <t>I15 = mortgage_rate</t>
  </si>
  <si>
    <t>I16 = Eff_rate</t>
  </si>
  <si>
    <t>I17 = max_mortgage</t>
  </si>
  <si>
    <t>I19 = annual_prop_tax</t>
  </si>
  <si>
    <t>I20 = monthly_prop_tax</t>
  </si>
  <si>
    <t>(Compound Semi-annually)</t>
  </si>
  <si>
    <t>B7 = mortgage_r</t>
  </si>
  <si>
    <t>4-5A: Calculating Mortgage Amount</t>
  </si>
  <si>
    <t>4-5B: Calculating Mortgage Payments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</si>
</sst>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  <numFmt numFmtId="173" formatCode="0.000%"/>
    <numFmt numFmtId="174" formatCode="0.0000000000"/>
    <numFmt numFmtId="175" formatCode="0.00000000000"/>
    <numFmt numFmtId="176" formatCode="0.00000000000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3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b/>
      <sz val="30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0" fontId="0" fillId="0" borderId="0" xfId="17" applyAlignment="1">
      <alignment/>
    </xf>
    <xf numFmtId="17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170" fontId="7" fillId="0" borderId="7" xfId="17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right"/>
    </xf>
    <xf numFmtId="170" fontId="7" fillId="0" borderId="10" xfId="17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170" fontId="7" fillId="0" borderId="0" xfId="17" applyFont="1" applyBorder="1" applyAlignment="1">
      <alignment/>
    </xf>
    <xf numFmtId="170" fontId="7" fillId="0" borderId="11" xfId="17" applyFont="1" applyBorder="1" applyAlignment="1">
      <alignment/>
    </xf>
    <xf numFmtId="170" fontId="7" fillId="0" borderId="2" xfId="17" applyFont="1" applyBorder="1" applyAlignment="1">
      <alignment/>
    </xf>
    <xf numFmtId="170" fontId="7" fillId="0" borderId="6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170" fontId="7" fillId="0" borderId="5" xfId="17" applyFont="1" applyBorder="1" applyAlignment="1">
      <alignment/>
    </xf>
    <xf numFmtId="170" fontId="7" fillId="0" borderId="7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0" fontId="7" fillId="0" borderId="5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0" fontId="7" fillId="0" borderId="12" xfId="0" applyNumberFormat="1" applyFont="1" applyBorder="1" applyAlignment="1">
      <alignment/>
    </xf>
    <xf numFmtId="170" fontId="7" fillId="0" borderId="0" xfId="17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right"/>
    </xf>
    <xf numFmtId="170" fontId="0" fillId="0" borderId="11" xfId="17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right"/>
    </xf>
    <xf numFmtId="170" fontId="1" fillId="0" borderId="13" xfId="0" applyNumberFormat="1" applyFont="1" applyBorder="1" applyAlignment="1">
      <alignment/>
    </xf>
    <xf numFmtId="10" fontId="0" fillId="0" borderId="11" xfId="21" applyNumberFormat="1" applyBorder="1" applyAlignment="1">
      <alignment/>
    </xf>
    <xf numFmtId="170" fontId="1" fillId="0" borderId="10" xfId="17" applyFont="1" applyBorder="1" applyAlignment="1">
      <alignment/>
    </xf>
    <xf numFmtId="167" fontId="1" fillId="0" borderId="10" xfId="17" applyNumberFormat="1" applyFont="1" applyBorder="1" applyAlignment="1">
      <alignment/>
    </xf>
    <xf numFmtId="0" fontId="0" fillId="0" borderId="0" xfId="0" applyBorder="1" applyAlignment="1">
      <alignment horizontal="right"/>
    </xf>
    <xf numFmtId="170" fontId="0" fillId="0" borderId="14" xfId="17" applyBorder="1" applyAlignment="1">
      <alignment/>
    </xf>
    <xf numFmtId="170" fontId="0" fillId="0" borderId="15" xfId="17" applyBorder="1" applyAlignment="1">
      <alignment/>
    </xf>
    <xf numFmtId="170" fontId="0" fillId="0" borderId="11" xfId="17" applyBorder="1" applyAlignment="1">
      <alignment/>
    </xf>
    <xf numFmtId="170" fontId="1" fillId="0" borderId="13" xfId="17" applyFont="1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 horizontal="right"/>
    </xf>
    <xf numFmtId="170" fontId="1" fillId="0" borderId="14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10" fontId="1" fillId="0" borderId="11" xfId="21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70" fontId="1" fillId="0" borderId="16" xfId="17" applyFont="1" applyBorder="1" applyAlignment="1">
      <alignment/>
    </xf>
    <xf numFmtId="0" fontId="1" fillId="0" borderId="17" xfId="0" applyFont="1" applyBorder="1" applyAlignment="1">
      <alignment wrapText="1"/>
    </xf>
    <xf numFmtId="10" fontId="1" fillId="0" borderId="10" xfId="21" applyNumberFormat="1" applyFont="1" applyBorder="1" applyAlignment="1">
      <alignment wrapText="1"/>
    </xf>
    <xf numFmtId="167" fontId="1" fillId="0" borderId="10" xfId="17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170" fontId="1" fillId="0" borderId="5" xfId="0" applyNumberFormat="1" applyFont="1" applyBorder="1" applyAlignment="1">
      <alignment/>
    </xf>
    <xf numFmtId="170" fontId="1" fillId="0" borderId="7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right"/>
    </xf>
    <xf numFmtId="170" fontId="1" fillId="0" borderId="7" xfId="17" applyFont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/>
    </xf>
    <xf numFmtId="0" fontId="15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70" fontId="1" fillId="2" borderId="11" xfId="17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0" fontId="1" fillId="0" borderId="11" xfId="17" applyFont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1" xfId="0" applyFont="1" applyFill="1" applyBorder="1" applyAlignment="1">
      <alignment horizontal="right"/>
    </xf>
    <xf numFmtId="0" fontId="1" fillId="5" borderId="3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11" xfId="0" applyFont="1" applyFill="1" applyBorder="1" applyAlignment="1">
      <alignment horizontal="right"/>
    </xf>
    <xf numFmtId="0" fontId="1" fillId="5" borderId="11" xfId="0" applyFont="1" applyFill="1" applyBorder="1" applyAlignment="1">
      <alignment/>
    </xf>
    <xf numFmtId="170" fontId="1" fillId="4" borderId="11" xfId="17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11" xfId="0" applyFont="1" applyFill="1" applyBorder="1" applyAlignment="1">
      <alignment horizontal="right"/>
    </xf>
    <xf numFmtId="10" fontId="1" fillId="6" borderId="11" xfId="21" applyNumberFormat="1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" fillId="5" borderId="15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right"/>
    </xf>
    <xf numFmtId="10" fontId="1" fillId="7" borderId="15" xfId="21" applyNumberFormat="1" applyFont="1" applyFill="1" applyBorder="1" applyAlignment="1">
      <alignment/>
    </xf>
    <xf numFmtId="0" fontId="1" fillId="5" borderId="17" xfId="0" applyFont="1" applyFill="1" applyBorder="1" applyAlignment="1">
      <alignment wrapText="1"/>
    </xf>
    <xf numFmtId="10" fontId="1" fillId="5" borderId="10" xfId="21" applyNumberFormat="1" applyFont="1" applyFill="1" applyBorder="1" applyAlignment="1">
      <alignment wrapText="1"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70" fontId="1" fillId="3" borderId="11" xfId="17" applyFont="1" applyFill="1" applyBorder="1" applyAlignment="1">
      <alignment/>
    </xf>
    <xf numFmtId="0" fontId="1" fillId="8" borderId="17" xfId="0" applyFont="1" applyFill="1" applyBorder="1" applyAlignment="1">
      <alignment wrapText="1"/>
    </xf>
    <xf numFmtId="170" fontId="1" fillId="8" borderId="10" xfId="17" applyFont="1" applyFill="1" applyBorder="1" applyAlignment="1">
      <alignment wrapText="1"/>
    </xf>
    <xf numFmtId="0" fontId="1" fillId="8" borderId="6" xfId="0" applyFont="1" applyFill="1" applyBorder="1" applyAlignment="1">
      <alignment horizontal="right"/>
    </xf>
    <xf numFmtId="0" fontId="1" fillId="8" borderId="1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170" fontId="1" fillId="8" borderId="11" xfId="17" applyFont="1" applyFill="1" applyBorder="1" applyAlignment="1">
      <alignment/>
    </xf>
    <xf numFmtId="173" fontId="1" fillId="5" borderId="10" xfId="21" applyNumberFormat="1" applyFont="1" applyFill="1" applyBorder="1" applyAlignment="1">
      <alignment wrapText="1"/>
    </xf>
    <xf numFmtId="173" fontId="1" fillId="0" borderId="10" xfId="21" applyNumberFormat="1" applyFont="1" applyBorder="1" applyAlignment="1">
      <alignment wrapText="1"/>
    </xf>
    <xf numFmtId="172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167" fontId="1" fillId="3" borderId="6" xfId="0" applyNumberFormat="1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10" fontId="1" fillId="6" borderId="11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167" fontId="1" fillId="3" borderId="7" xfId="0" applyNumberFormat="1" applyFont="1" applyFill="1" applyBorder="1" applyAlignment="1">
      <alignment/>
    </xf>
    <xf numFmtId="0" fontId="0" fillId="8" borderId="0" xfId="0" applyFill="1" applyAlignment="1">
      <alignment horizontal="right"/>
    </xf>
    <xf numFmtId="170" fontId="0" fillId="8" borderId="0" xfId="0" applyNumberFormat="1" applyFill="1" applyAlignment="1">
      <alignment/>
    </xf>
    <xf numFmtId="0" fontId="0" fillId="3" borderId="5" xfId="0" applyFill="1" applyBorder="1" applyAlignment="1">
      <alignment horizontal="right"/>
    </xf>
    <xf numFmtId="170" fontId="0" fillId="3" borderId="5" xfId="0" applyNumberFormat="1" applyFill="1" applyBorder="1" applyAlignment="1">
      <alignment/>
    </xf>
    <xf numFmtId="0" fontId="0" fillId="2" borderId="12" xfId="0" applyFill="1" applyBorder="1" applyAlignment="1">
      <alignment horizontal="right"/>
    </xf>
    <xf numFmtId="170" fontId="0" fillId="2" borderId="12" xfId="0" applyNumberForma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70" fontId="8" fillId="0" borderId="6" xfId="17" applyFont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170" fontId="8" fillId="2" borderId="6" xfId="17" applyFont="1" applyFill="1" applyBorder="1" applyAlignment="1">
      <alignment/>
    </xf>
    <xf numFmtId="0" fontId="8" fillId="9" borderId="3" xfId="0" applyFont="1" applyFill="1" applyBorder="1" applyAlignment="1">
      <alignment/>
    </xf>
    <xf numFmtId="0" fontId="8" fillId="9" borderId="0" xfId="0" applyFont="1" applyFill="1" applyBorder="1" applyAlignment="1">
      <alignment/>
    </xf>
    <xf numFmtId="0" fontId="8" fillId="9" borderId="0" xfId="0" applyFont="1" applyFill="1" applyBorder="1" applyAlignment="1">
      <alignment horizontal="right"/>
    </xf>
    <xf numFmtId="10" fontId="8" fillId="9" borderId="11" xfId="0" applyNumberFormat="1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9" fontId="8" fillId="3" borderId="11" xfId="0" applyNumberFormat="1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right"/>
    </xf>
    <xf numFmtId="9" fontId="8" fillId="5" borderId="7" xfId="0" applyNumberFormat="1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5" xfId="0" applyFont="1" applyFill="1" applyBorder="1" applyAlignment="1">
      <alignment horizontal="right"/>
    </xf>
    <xf numFmtId="170" fontId="8" fillId="6" borderId="7" xfId="17" applyFont="1" applyFill="1" applyBorder="1" applyAlignment="1">
      <alignment/>
    </xf>
    <xf numFmtId="10" fontId="7" fillId="9" borderId="0" xfId="21" applyNumberFormat="1" applyFont="1" applyFill="1" applyAlignment="1">
      <alignment/>
    </xf>
    <xf numFmtId="0" fontId="7" fillId="10" borderId="0" xfId="0" applyFont="1" applyFill="1" applyAlignment="1">
      <alignment/>
    </xf>
    <xf numFmtId="0" fontId="7" fillId="10" borderId="0" xfId="0" applyFont="1" applyFill="1" applyAlignment="1">
      <alignment horizontal="right"/>
    </xf>
    <xf numFmtId="170" fontId="7" fillId="10" borderId="0" xfId="17" applyFont="1" applyFill="1" applyAlignment="1">
      <alignment/>
    </xf>
    <xf numFmtId="0" fontId="7" fillId="10" borderId="0" xfId="0" applyFont="1" applyFill="1" applyBorder="1" applyAlignment="1">
      <alignment horizontal="right"/>
    </xf>
    <xf numFmtId="170" fontId="7" fillId="10" borderId="0" xfId="0" applyNumberFormat="1" applyFont="1" applyFill="1" applyBorder="1" applyAlignment="1">
      <alignment/>
    </xf>
    <xf numFmtId="0" fontId="7" fillId="8" borderId="0" xfId="0" applyFont="1" applyFill="1" applyAlignment="1">
      <alignment/>
    </xf>
    <xf numFmtId="0" fontId="7" fillId="8" borderId="12" xfId="0" applyFont="1" applyFill="1" applyBorder="1" applyAlignment="1">
      <alignment horizontal="right"/>
    </xf>
    <xf numFmtId="170" fontId="7" fillId="8" borderId="12" xfId="0" applyNumberFormat="1" applyFont="1" applyFill="1" applyBorder="1" applyAlignment="1">
      <alignment/>
    </xf>
    <xf numFmtId="0" fontId="7" fillId="8" borderId="19" xfId="0" applyFont="1" applyFill="1" applyBorder="1" applyAlignment="1">
      <alignment horizontal="right"/>
    </xf>
    <xf numFmtId="170" fontId="7" fillId="8" borderId="19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5" xfId="0" applyFont="1" applyFill="1" applyBorder="1" applyAlignment="1">
      <alignment horizontal="right"/>
    </xf>
    <xf numFmtId="170" fontId="7" fillId="3" borderId="5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9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70" fontId="1" fillId="8" borderId="14" xfId="17" applyFont="1" applyFill="1" applyBorder="1" applyAlignment="1">
      <alignment/>
    </xf>
    <xf numFmtId="170" fontId="1" fillId="0" borderId="15" xfId="17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70" fontId="1" fillId="0" borderId="17" xfId="0" applyNumberFormat="1" applyFont="1" applyBorder="1" applyAlignment="1">
      <alignment/>
    </xf>
    <xf numFmtId="170" fontId="17" fillId="0" borderId="15" xfId="17" applyFont="1" applyBorder="1" applyAlignment="1">
      <alignment/>
    </xf>
    <xf numFmtId="10" fontId="18" fillId="0" borderId="15" xfId="21" applyNumberFormat="1" applyFont="1" applyBorder="1" applyAlignment="1">
      <alignment/>
    </xf>
    <xf numFmtId="170" fontId="18" fillId="0" borderId="15" xfId="17" applyFont="1" applyBorder="1" applyAlignment="1">
      <alignment/>
    </xf>
    <xf numFmtId="0" fontId="18" fillId="0" borderId="0" xfId="0" applyFont="1" applyBorder="1" applyAlignment="1">
      <alignment horizontal="left"/>
    </xf>
    <xf numFmtId="10" fontId="19" fillId="0" borderId="15" xfId="0" applyNumberFormat="1" applyFont="1" applyBorder="1" applyAlignment="1">
      <alignment/>
    </xf>
    <xf numFmtId="170" fontId="19" fillId="0" borderId="15" xfId="17" applyFont="1" applyBorder="1" applyAlignment="1">
      <alignment/>
    </xf>
    <xf numFmtId="170" fontId="20" fillId="0" borderId="10" xfId="17" applyFont="1" applyBorder="1" applyAlignment="1">
      <alignment/>
    </xf>
    <xf numFmtId="170" fontId="1" fillId="3" borderId="15" xfId="17" applyFont="1" applyFill="1" applyBorder="1" applyAlignment="1">
      <alignment/>
    </xf>
    <xf numFmtId="0" fontId="1" fillId="3" borderId="15" xfId="0" applyFont="1" applyFill="1" applyBorder="1" applyAlignment="1">
      <alignment/>
    </xf>
    <xf numFmtId="170" fontId="18" fillId="0" borderId="17" xfId="0" applyNumberFormat="1" applyFont="1" applyBorder="1" applyAlignment="1">
      <alignment/>
    </xf>
    <xf numFmtId="0" fontId="1" fillId="9" borderId="11" xfId="0" applyFont="1" applyFill="1" applyBorder="1" applyAlignment="1">
      <alignment/>
    </xf>
    <xf numFmtId="167" fontId="19" fillId="0" borderId="10" xfId="17" applyNumberFormat="1" applyFont="1" applyBorder="1" applyAlignment="1">
      <alignment/>
    </xf>
    <xf numFmtId="170" fontId="18" fillId="0" borderId="11" xfId="17" applyFont="1" applyBorder="1" applyAlignment="1">
      <alignment/>
    </xf>
    <xf numFmtId="170" fontId="18" fillId="0" borderId="7" xfId="17" applyFont="1" applyBorder="1" applyAlignment="1">
      <alignment/>
    </xf>
    <xf numFmtId="173" fontId="1" fillId="5" borderId="11" xfId="21" applyNumberFormat="1" applyFont="1" applyFill="1" applyBorder="1" applyAlignment="1">
      <alignment/>
    </xf>
    <xf numFmtId="176" fontId="0" fillId="0" borderId="11" xfId="0" applyNumberFormat="1" applyBorder="1" applyAlignment="1">
      <alignment/>
    </xf>
    <xf numFmtId="170" fontId="18" fillId="0" borderId="0" xfId="17" applyFont="1" applyBorder="1" applyAlignment="1">
      <alignment/>
    </xf>
    <xf numFmtId="0" fontId="1" fillId="10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9" borderId="18" xfId="0" applyFont="1" applyFill="1" applyBorder="1" applyAlignment="1">
      <alignment/>
    </xf>
    <xf numFmtId="0" fontId="18" fillId="0" borderId="17" xfId="0" applyFont="1" applyBorder="1" applyAlignment="1">
      <alignment/>
    </xf>
    <xf numFmtId="170" fontId="18" fillId="0" borderId="10" xfId="17" applyFont="1" applyBorder="1" applyAlignment="1">
      <alignment/>
    </xf>
    <xf numFmtId="0" fontId="17" fillId="0" borderId="17" xfId="0" applyFont="1" applyBorder="1" applyAlignment="1">
      <alignment/>
    </xf>
    <xf numFmtId="170" fontId="17" fillId="0" borderId="10" xfId="17" applyFont="1" applyBorder="1" applyAlignment="1">
      <alignment/>
    </xf>
    <xf numFmtId="0" fontId="21" fillId="0" borderId="15" xfId="0" applyFont="1" applyBorder="1" applyAlignment="1">
      <alignment/>
    </xf>
    <xf numFmtId="170" fontId="1" fillId="10" borderId="1" xfId="17" applyFont="1" applyFill="1" applyBorder="1" applyAlignment="1">
      <alignment/>
    </xf>
    <xf numFmtId="170" fontId="1" fillId="4" borderId="3" xfId="17" applyFont="1" applyFill="1" applyBorder="1" applyAlignment="1">
      <alignment/>
    </xf>
    <xf numFmtId="170" fontId="1" fillId="0" borderId="3" xfId="17" applyFont="1" applyBorder="1" applyAlignment="1">
      <alignment/>
    </xf>
    <xf numFmtId="0" fontId="1" fillId="9" borderId="4" xfId="0" applyFont="1" applyFill="1" applyBorder="1" applyAlignment="1">
      <alignment/>
    </xf>
    <xf numFmtId="0" fontId="22" fillId="0" borderId="11" xfId="0" applyFont="1" applyBorder="1" applyAlignment="1">
      <alignment/>
    </xf>
    <xf numFmtId="0" fontId="7" fillId="9" borderId="0" xfId="0" applyFont="1" applyFill="1" applyBorder="1" applyAlignment="1">
      <alignment horizontal="right"/>
    </xf>
    <xf numFmtId="0" fontId="21" fillId="0" borderId="11" xfId="0" applyFont="1" applyBorder="1" applyAlignment="1">
      <alignment/>
    </xf>
    <xf numFmtId="177" fontId="21" fillId="0" borderId="11" xfId="0" applyNumberFormat="1" applyFont="1" applyBorder="1" applyAlignment="1">
      <alignment/>
    </xf>
    <xf numFmtId="180" fontId="21" fillId="0" borderId="11" xfId="0" applyNumberFormat="1" applyFont="1" applyBorder="1" applyAlignment="1">
      <alignment/>
    </xf>
    <xf numFmtId="0" fontId="20" fillId="0" borderId="15" xfId="0" applyFont="1" applyBorder="1" applyAlignment="1">
      <alignment/>
    </xf>
    <xf numFmtId="170" fontId="20" fillId="0" borderId="11" xfId="17" applyFont="1" applyBorder="1" applyAlignment="1">
      <alignment/>
    </xf>
    <xf numFmtId="0" fontId="19" fillId="0" borderId="18" xfId="0" applyFont="1" applyBorder="1" applyAlignment="1">
      <alignment/>
    </xf>
    <xf numFmtId="170" fontId="19" fillId="0" borderId="7" xfId="17" applyFont="1" applyBorder="1" applyAlignment="1">
      <alignment/>
    </xf>
    <xf numFmtId="0" fontId="20" fillId="0" borderId="14" xfId="0" applyFont="1" applyBorder="1" applyAlignment="1">
      <alignment/>
    </xf>
    <xf numFmtId="170" fontId="20" fillId="0" borderId="6" xfId="0" applyNumberFormat="1" applyFont="1" applyBorder="1" applyAlignment="1">
      <alignment/>
    </xf>
    <xf numFmtId="0" fontId="20" fillId="0" borderId="18" xfId="0" applyFont="1" applyBorder="1" applyAlignment="1">
      <alignment/>
    </xf>
    <xf numFmtId="170" fontId="20" fillId="0" borderId="7" xfId="0" applyNumberFormat="1" applyFont="1" applyBorder="1" applyAlignment="1">
      <alignment/>
    </xf>
    <xf numFmtId="173" fontId="1" fillId="5" borderId="3" xfId="21" applyNumberFormat="1" applyFont="1" applyFill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5" borderId="3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9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8" borderId="6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20.140625" style="0" customWidth="1"/>
    <col min="3" max="3" width="12.28125" style="0" customWidth="1"/>
    <col min="4" max="4" width="12.8515625" style="0" customWidth="1"/>
    <col min="5" max="5" width="15.8515625" style="0" bestFit="1" customWidth="1"/>
    <col min="6" max="6" width="3.140625" style="0" customWidth="1"/>
  </cols>
  <sheetData>
    <row r="1" spans="1:5" ht="27.75">
      <c r="A1" s="236" t="s">
        <v>12</v>
      </c>
      <c r="B1" s="236"/>
      <c r="C1" s="236"/>
      <c r="D1" s="236"/>
      <c r="E1" s="236"/>
    </row>
    <row r="2" ht="13.5" thickBot="1"/>
    <row r="3" spans="1:3" ht="12.75">
      <c r="A3" s="130"/>
      <c r="B3" s="131" t="s">
        <v>0</v>
      </c>
      <c r="C3" s="132">
        <v>5000</v>
      </c>
    </row>
    <row r="4" spans="1:3" ht="12.75">
      <c r="A4" s="106"/>
      <c r="B4" s="133" t="s">
        <v>1</v>
      </c>
      <c r="C4" s="134">
        <v>0.1</v>
      </c>
    </row>
    <row r="5" spans="1:3" ht="12.75">
      <c r="A5" s="101"/>
      <c r="B5" s="110" t="s">
        <v>2</v>
      </c>
      <c r="C5" s="104">
        <v>2</v>
      </c>
    </row>
    <row r="6" spans="1:3" ht="13.5" thickBot="1">
      <c r="A6" s="135"/>
      <c r="B6" s="136" t="s">
        <v>169</v>
      </c>
      <c r="C6" s="137">
        <v>1200</v>
      </c>
    </row>
    <row r="8" spans="1:5" ht="12.75">
      <c r="A8" s="1" t="s">
        <v>4</v>
      </c>
      <c r="B8" s="1" t="s">
        <v>5</v>
      </c>
      <c r="C8" s="1" t="s">
        <v>6</v>
      </c>
      <c r="D8" s="1" t="s">
        <v>170</v>
      </c>
      <c r="E8" s="1" t="s">
        <v>8</v>
      </c>
    </row>
    <row r="9" spans="1:5" ht="12.75">
      <c r="A9" s="129">
        <f>1/n</f>
        <v>0.5</v>
      </c>
      <c r="B9" s="2">
        <f>principal</f>
        <v>5000</v>
      </c>
      <c r="C9" s="2">
        <f>B9*rate/n</f>
        <v>250</v>
      </c>
      <c r="D9" s="2">
        <f>regular_contribution</f>
        <v>1200</v>
      </c>
      <c r="E9" s="2">
        <f>B9+C9+D9</f>
        <v>6450</v>
      </c>
    </row>
    <row r="10" spans="1:5" ht="12.75">
      <c r="A10" s="129">
        <f>A9+1/n</f>
        <v>1</v>
      </c>
      <c r="B10" s="2">
        <f>E9</f>
        <v>6450</v>
      </c>
      <c r="C10" s="2">
        <f aca="true" t="shared" si="0" ref="C10:C28">B10*rate/n</f>
        <v>322.5</v>
      </c>
      <c r="D10" s="2">
        <f aca="true" t="shared" si="1" ref="D10:D28">regular_contribution</f>
        <v>1200</v>
      </c>
      <c r="E10" s="2">
        <f aca="true" t="shared" si="2" ref="E10:E28">B10+C10+D10</f>
        <v>7972.5</v>
      </c>
    </row>
    <row r="11" spans="1:5" ht="12.75">
      <c r="A11" s="129">
        <f aca="true" t="shared" si="3" ref="A11:A27">A10+1/n</f>
        <v>1.5</v>
      </c>
      <c r="B11" s="2">
        <f aca="true" t="shared" si="4" ref="B11:B28">E10</f>
        <v>7972.5</v>
      </c>
      <c r="C11" s="2">
        <f t="shared" si="0"/>
        <v>398.625</v>
      </c>
      <c r="D11" s="2">
        <f t="shared" si="1"/>
        <v>1200</v>
      </c>
      <c r="E11" s="2">
        <f t="shared" si="2"/>
        <v>9571.125</v>
      </c>
    </row>
    <row r="12" spans="1:5" ht="12.75">
      <c r="A12" s="129">
        <f t="shared" si="3"/>
        <v>2</v>
      </c>
      <c r="B12" s="2">
        <f t="shared" si="4"/>
        <v>9571.125</v>
      </c>
      <c r="C12" s="2">
        <f t="shared" si="0"/>
        <v>478.55625000000003</v>
      </c>
      <c r="D12" s="2">
        <f t="shared" si="1"/>
        <v>1200</v>
      </c>
      <c r="E12" s="2">
        <f t="shared" si="2"/>
        <v>11249.68125</v>
      </c>
    </row>
    <row r="13" spans="1:5" ht="12.75">
      <c r="A13" s="129">
        <f t="shared" si="3"/>
        <v>2.5</v>
      </c>
      <c r="B13" s="2">
        <f t="shared" si="4"/>
        <v>11249.68125</v>
      </c>
      <c r="C13" s="2">
        <f t="shared" si="0"/>
        <v>562.4840625</v>
      </c>
      <c r="D13" s="2">
        <f t="shared" si="1"/>
        <v>1200</v>
      </c>
      <c r="E13" s="2">
        <f t="shared" si="2"/>
        <v>13012.1653125</v>
      </c>
    </row>
    <row r="14" spans="1:5" ht="12.75">
      <c r="A14" s="129">
        <f t="shared" si="3"/>
        <v>3</v>
      </c>
      <c r="B14" s="2">
        <f t="shared" si="4"/>
        <v>13012.1653125</v>
      </c>
      <c r="C14" s="2">
        <f t="shared" si="0"/>
        <v>650.6082656250001</v>
      </c>
      <c r="D14" s="2">
        <f t="shared" si="1"/>
        <v>1200</v>
      </c>
      <c r="E14" s="2">
        <f t="shared" si="2"/>
        <v>14862.773578125</v>
      </c>
    </row>
    <row r="15" spans="1:5" ht="12.75">
      <c r="A15" s="129">
        <f t="shared" si="3"/>
        <v>3.5</v>
      </c>
      <c r="B15" s="2">
        <f t="shared" si="4"/>
        <v>14862.773578125</v>
      </c>
      <c r="C15" s="2">
        <f t="shared" si="0"/>
        <v>743.13867890625</v>
      </c>
      <c r="D15" s="2">
        <f t="shared" si="1"/>
        <v>1200</v>
      </c>
      <c r="E15" s="2">
        <f t="shared" si="2"/>
        <v>16805.91225703125</v>
      </c>
    </row>
    <row r="16" spans="1:5" ht="12.75">
      <c r="A16" s="129">
        <f t="shared" si="3"/>
        <v>4</v>
      </c>
      <c r="B16" s="2">
        <f t="shared" si="4"/>
        <v>16805.91225703125</v>
      </c>
      <c r="C16" s="2">
        <f t="shared" si="0"/>
        <v>840.2956128515625</v>
      </c>
      <c r="D16" s="2">
        <f t="shared" si="1"/>
        <v>1200</v>
      </c>
      <c r="E16" s="2">
        <f t="shared" si="2"/>
        <v>18846.20786988281</v>
      </c>
    </row>
    <row r="17" spans="1:5" ht="12.75">
      <c r="A17" s="129">
        <f t="shared" si="3"/>
        <v>4.5</v>
      </c>
      <c r="B17" s="2">
        <f t="shared" si="4"/>
        <v>18846.20786988281</v>
      </c>
      <c r="C17" s="2">
        <f t="shared" si="0"/>
        <v>942.3103934941406</v>
      </c>
      <c r="D17" s="2">
        <f t="shared" si="1"/>
        <v>1200</v>
      </c>
      <c r="E17" s="2">
        <f t="shared" si="2"/>
        <v>20988.51826337695</v>
      </c>
    </row>
    <row r="18" spans="1:5" ht="12.75">
      <c r="A18" s="129">
        <f t="shared" si="3"/>
        <v>5</v>
      </c>
      <c r="B18" s="2">
        <f t="shared" si="4"/>
        <v>20988.51826337695</v>
      </c>
      <c r="C18" s="2">
        <f t="shared" si="0"/>
        <v>1049.4259131688475</v>
      </c>
      <c r="D18" s="2">
        <f t="shared" si="1"/>
        <v>1200</v>
      </c>
      <c r="E18" s="2">
        <f t="shared" si="2"/>
        <v>23237.9441765458</v>
      </c>
    </row>
    <row r="19" spans="1:5" ht="12.75">
      <c r="A19" s="129">
        <f t="shared" si="3"/>
        <v>5.5</v>
      </c>
      <c r="B19" s="2">
        <f t="shared" si="4"/>
        <v>23237.9441765458</v>
      </c>
      <c r="C19" s="2">
        <f t="shared" si="0"/>
        <v>1161.8972088272901</v>
      </c>
      <c r="D19" s="2">
        <f t="shared" si="1"/>
        <v>1200</v>
      </c>
      <c r="E19" s="2">
        <f t="shared" si="2"/>
        <v>25599.84138537309</v>
      </c>
    </row>
    <row r="20" spans="1:5" ht="12.75">
      <c r="A20" s="129">
        <f t="shared" si="3"/>
        <v>6</v>
      </c>
      <c r="B20" s="2">
        <f t="shared" si="4"/>
        <v>25599.84138537309</v>
      </c>
      <c r="C20" s="2">
        <f t="shared" si="0"/>
        <v>1279.9920692686546</v>
      </c>
      <c r="D20" s="2">
        <f t="shared" si="1"/>
        <v>1200</v>
      </c>
      <c r="E20" s="2">
        <f t="shared" si="2"/>
        <v>28079.833454641743</v>
      </c>
    </row>
    <row r="21" spans="1:5" ht="12.75">
      <c r="A21" s="129">
        <f t="shared" si="3"/>
        <v>6.5</v>
      </c>
      <c r="B21" s="2">
        <f t="shared" si="4"/>
        <v>28079.833454641743</v>
      </c>
      <c r="C21" s="2">
        <f t="shared" si="0"/>
        <v>1403.9916727320872</v>
      </c>
      <c r="D21" s="2">
        <f t="shared" si="1"/>
        <v>1200</v>
      </c>
      <c r="E21" s="2">
        <f t="shared" si="2"/>
        <v>30683.82512737383</v>
      </c>
    </row>
    <row r="22" spans="1:5" ht="12.75">
      <c r="A22" s="129">
        <f t="shared" si="3"/>
        <v>7</v>
      </c>
      <c r="B22" s="2">
        <f t="shared" si="4"/>
        <v>30683.82512737383</v>
      </c>
      <c r="C22" s="2">
        <f t="shared" si="0"/>
        <v>1534.1912563686917</v>
      </c>
      <c r="D22" s="2">
        <f t="shared" si="1"/>
        <v>1200</v>
      </c>
      <c r="E22" s="2">
        <f t="shared" si="2"/>
        <v>33418.01638374252</v>
      </c>
    </row>
    <row r="23" spans="1:5" ht="12.75">
      <c r="A23" s="129">
        <f t="shared" si="3"/>
        <v>7.5</v>
      </c>
      <c r="B23" s="2">
        <f t="shared" si="4"/>
        <v>33418.01638374252</v>
      </c>
      <c r="C23" s="2">
        <f t="shared" si="0"/>
        <v>1670.9008191871262</v>
      </c>
      <c r="D23" s="2">
        <f t="shared" si="1"/>
        <v>1200</v>
      </c>
      <c r="E23" s="2">
        <f t="shared" si="2"/>
        <v>36288.917202929646</v>
      </c>
    </row>
    <row r="24" spans="1:5" ht="12.75">
      <c r="A24" s="129">
        <f t="shared" si="3"/>
        <v>8</v>
      </c>
      <c r="B24" s="2">
        <f t="shared" si="4"/>
        <v>36288.917202929646</v>
      </c>
      <c r="C24" s="2">
        <f t="shared" si="0"/>
        <v>1814.4458601464823</v>
      </c>
      <c r="D24" s="2">
        <f t="shared" si="1"/>
        <v>1200</v>
      </c>
      <c r="E24" s="2">
        <f t="shared" si="2"/>
        <v>39303.363063076125</v>
      </c>
    </row>
    <row r="25" spans="1:5" ht="12.75">
      <c r="A25" s="129">
        <f t="shared" si="3"/>
        <v>8.5</v>
      </c>
      <c r="B25" s="2">
        <f t="shared" si="4"/>
        <v>39303.363063076125</v>
      </c>
      <c r="C25" s="2">
        <f t="shared" si="0"/>
        <v>1965.1681531538063</v>
      </c>
      <c r="D25" s="2">
        <f t="shared" si="1"/>
        <v>1200</v>
      </c>
      <c r="E25" s="2">
        <f t="shared" si="2"/>
        <v>42468.53121622993</v>
      </c>
    </row>
    <row r="26" spans="1:5" ht="12.75">
      <c r="A26" s="129">
        <f t="shared" si="3"/>
        <v>9</v>
      </c>
      <c r="B26" s="2">
        <f t="shared" si="4"/>
        <v>42468.53121622993</v>
      </c>
      <c r="C26" s="2">
        <f t="shared" si="0"/>
        <v>2123.4265608114965</v>
      </c>
      <c r="D26" s="2">
        <f t="shared" si="1"/>
        <v>1200</v>
      </c>
      <c r="E26" s="2">
        <f t="shared" si="2"/>
        <v>45791.957777041425</v>
      </c>
    </row>
    <row r="27" spans="1:5" ht="12.75">
      <c r="A27" s="129">
        <f t="shared" si="3"/>
        <v>9.5</v>
      </c>
      <c r="B27" s="2">
        <f t="shared" si="4"/>
        <v>45791.957777041425</v>
      </c>
      <c r="C27" s="2">
        <f t="shared" si="0"/>
        <v>2289.5978888520713</v>
      </c>
      <c r="D27" s="2">
        <f t="shared" si="1"/>
        <v>1200</v>
      </c>
      <c r="E27" s="2">
        <f t="shared" si="2"/>
        <v>49281.555665893495</v>
      </c>
    </row>
    <row r="28" spans="1:5" ht="12.75">
      <c r="A28" s="129">
        <f>A27+1/n</f>
        <v>10</v>
      </c>
      <c r="B28" s="2">
        <f t="shared" si="4"/>
        <v>49281.555665893495</v>
      </c>
      <c r="C28" s="2">
        <f t="shared" si="0"/>
        <v>2464.077783294675</v>
      </c>
      <c r="D28" s="2">
        <f t="shared" si="1"/>
        <v>1200</v>
      </c>
      <c r="E28" s="2">
        <f t="shared" si="2"/>
        <v>52945.63344918817</v>
      </c>
    </row>
    <row r="30" spans="2:3" ht="12.75">
      <c r="B30" s="138" t="s">
        <v>9</v>
      </c>
      <c r="C30" s="139">
        <f>SUM(C9:C28)</f>
        <v>23945.63344918818</v>
      </c>
    </row>
    <row r="31" spans="2:3" ht="13.5" thickBot="1">
      <c r="B31" s="140" t="s">
        <v>10</v>
      </c>
      <c r="C31" s="141">
        <f>principal+SUM(D9:D28)</f>
        <v>29000</v>
      </c>
    </row>
    <row r="32" spans="2:3" ht="13.5" thickBot="1">
      <c r="B32" s="142" t="s">
        <v>11</v>
      </c>
      <c r="C32" s="143">
        <f>SUM(C30:C31)</f>
        <v>52945.63344918818</v>
      </c>
    </row>
    <row r="33" ht="14.25" thickBot="1" thickTop="1"/>
    <row r="34" spans="2:3" ht="12.75">
      <c r="B34" s="237" t="s">
        <v>13</v>
      </c>
      <c r="C34" s="238"/>
    </row>
    <row r="35" spans="2:3" ht="12.75">
      <c r="B35" s="246" t="s">
        <v>14</v>
      </c>
      <c r="C35" s="247"/>
    </row>
    <row r="36" spans="2:3" ht="12.75">
      <c r="B36" s="246" t="s">
        <v>15</v>
      </c>
      <c r="C36" s="247"/>
    </row>
    <row r="37" spans="2:3" ht="12.75">
      <c r="B37" s="246" t="s">
        <v>16</v>
      </c>
      <c r="C37" s="247"/>
    </row>
    <row r="38" spans="2:3" ht="13.5" thickBot="1">
      <c r="B38" s="248" t="s">
        <v>17</v>
      </c>
      <c r="C38" s="249"/>
    </row>
  </sheetData>
  <mergeCells count="6">
    <mergeCell ref="B37:C37"/>
    <mergeCell ref="B38:C38"/>
    <mergeCell ref="A1:E1"/>
    <mergeCell ref="B34:C34"/>
    <mergeCell ref="B35:C35"/>
    <mergeCell ref="B36:C36"/>
  </mergeCells>
  <printOptions gridLines="1" headings="1"/>
  <pageMargins left="0.75" right="0.75" top="1" bottom="1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Formulas="1" tabSelected="1" workbookViewId="0" topLeftCell="A1">
      <selection activeCell="B20" sqref="B20"/>
    </sheetView>
  </sheetViews>
  <sheetFormatPr defaultColWidth="9.140625" defaultRowHeight="12.75"/>
  <cols>
    <col min="1" max="1" width="12.140625" style="0" customWidth="1"/>
    <col min="2" max="2" width="32.7109375" style="0" customWidth="1"/>
    <col min="3" max="3" width="1.8515625" style="0" customWidth="1"/>
    <col min="4" max="4" width="12.8515625" style="0" customWidth="1"/>
    <col min="5" max="5" width="45.8515625" style="0" customWidth="1"/>
    <col min="6" max="6" width="1.7109375" style="0" customWidth="1"/>
    <col min="7" max="7" width="6.28125" style="0" customWidth="1"/>
    <col min="8" max="8" width="4.7109375" style="0" customWidth="1"/>
    <col min="9" max="9" width="1.1484375" style="0" customWidth="1"/>
  </cols>
  <sheetData>
    <row r="1" spans="1:8" ht="37.5">
      <c r="A1" s="327" t="s">
        <v>189</v>
      </c>
      <c r="B1" s="327"/>
      <c r="C1" s="327"/>
      <c r="D1" s="327"/>
      <c r="E1" s="327"/>
      <c r="F1" s="327"/>
      <c r="G1" s="327"/>
      <c r="H1" s="327"/>
    </row>
    <row r="2" ht="13.5" thickBot="1"/>
    <row r="3" spans="1:4" ht="13.5" thickBot="1">
      <c r="A3" s="86" t="s">
        <v>111</v>
      </c>
      <c r="B3" s="52"/>
      <c r="C3" s="52"/>
      <c r="D3" s="83"/>
    </row>
    <row r="4" spans="1:4" ht="12.75">
      <c r="A4" s="208" t="s">
        <v>148</v>
      </c>
      <c r="B4" s="216">
        <v>200000</v>
      </c>
      <c r="C4" s="43"/>
      <c r="D4" s="79"/>
    </row>
    <row r="5" spans="1:4" ht="12.75">
      <c r="A5" s="209" t="s">
        <v>46</v>
      </c>
      <c r="B5" s="217">
        <v>50000</v>
      </c>
      <c r="C5" s="47"/>
      <c r="D5" s="50"/>
    </row>
    <row r="6" spans="1:4" ht="12.75">
      <c r="A6" s="88" t="s">
        <v>149</v>
      </c>
      <c r="B6" s="218">
        <f>house_price-B5</f>
        <v>150000</v>
      </c>
      <c r="C6" s="47"/>
      <c r="D6" s="50"/>
    </row>
    <row r="7" spans="1:4" ht="12.75">
      <c r="A7" s="111" t="s">
        <v>129</v>
      </c>
      <c r="B7" s="233">
        <v>0.06375</v>
      </c>
      <c r="C7" s="47"/>
      <c r="D7" s="220" t="s">
        <v>186</v>
      </c>
    </row>
    <row r="8" spans="1:4" ht="13.5" thickBot="1">
      <c r="A8" s="210" t="s">
        <v>150</v>
      </c>
      <c r="B8" s="219">
        <v>25</v>
      </c>
      <c r="C8" s="69"/>
      <c r="D8" s="70"/>
    </row>
    <row r="9" ht="13.5" thickBot="1"/>
    <row r="10" spans="1:8" ht="13.5" thickBot="1">
      <c r="A10" s="86" t="s">
        <v>151</v>
      </c>
      <c r="B10" s="83"/>
      <c r="D10" s="86" t="s">
        <v>152</v>
      </c>
      <c r="E10" s="52"/>
      <c r="F10" s="52"/>
      <c r="G10" s="52"/>
      <c r="H10" s="83"/>
    </row>
    <row r="11" spans="1:8" ht="12.75">
      <c r="A11" s="87" t="s">
        <v>131</v>
      </c>
      <c r="B11" s="50">
        <f>EXP(2/12*LN(mortgage_r/2+1))-1</f>
        <v>0.005243287452263434</v>
      </c>
      <c r="D11" s="87" t="s">
        <v>131</v>
      </c>
      <c r="E11" s="79">
        <f>EXP(2/26*LN(mortgage_r/2+1))-1</f>
        <v>0.002416571805753387</v>
      </c>
      <c r="F11" s="47"/>
      <c r="G11" s="47"/>
      <c r="H11" s="50"/>
    </row>
    <row r="12" spans="1:8" ht="12.75">
      <c r="A12" s="215" t="s">
        <v>153</v>
      </c>
      <c r="B12" s="222">
        <f>amortization*12</f>
        <v>300</v>
      </c>
      <c r="D12" s="215" t="s">
        <v>153</v>
      </c>
      <c r="E12" s="224">
        <f>LN(-biweekly_payment/(-biweekly_payment+mortgage*biweekly_Eff_rate))/LN(1+biweekly_Eff_rate)</f>
        <v>542.1474071596982</v>
      </c>
      <c r="F12" s="47"/>
      <c r="G12" s="47"/>
      <c r="H12" s="50"/>
    </row>
    <row r="13" spans="1:8" ht="13.5" thickBot="1">
      <c r="A13" s="63" t="s">
        <v>154</v>
      </c>
      <c r="B13" s="50">
        <f>amortization</f>
        <v>25</v>
      </c>
      <c r="D13" s="215" t="s">
        <v>154</v>
      </c>
      <c r="E13" s="223">
        <f>biweekly_N/26</f>
        <v>20.851823352296087</v>
      </c>
      <c r="F13" s="47"/>
      <c r="G13" s="47"/>
      <c r="H13" s="50"/>
    </row>
    <row r="14" spans="1:8" ht="13.5" thickBot="1">
      <c r="A14" s="211" t="s">
        <v>54</v>
      </c>
      <c r="B14" s="212">
        <f>monthly_Eff_rate*(mortgage+(mortgage/((1+monthly_Eff_rate)^B12-1)))</f>
        <v>993.396804021792</v>
      </c>
      <c r="D14" s="213" t="s">
        <v>155</v>
      </c>
      <c r="E14" s="214">
        <f>monthly_payment/2</f>
        <v>496.698402010896</v>
      </c>
      <c r="F14" s="47"/>
      <c r="G14" s="47"/>
      <c r="H14" s="50"/>
    </row>
    <row r="15" spans="1:8" ht="13.5" thickBot="1">
      <c r="A15" s="63"/>
      <c r="B15" s="50"/>
      <c r="D15" s="63"/>
      <c r="E15" s="50"/>
      <c r="F15" s="47"/>
      <c r="G15" s="47"/>
      <c r="H15" s="50"/>
    </row>
    <row r="16" spans="1:8" ht="12.75">
      <c r="A16" s="225" t="s">
        <v>156</v>
      </c>
      <c r="B16" s="226">
        <f>monthly_payment*monthly_N+down_payment</f>
        <v>298019.04120653763</v>
      </c>
      <c r="D16" s="225" t="s">
        <v>156</v>
      </c>
      <c r="E16" s="226">
        <f>biweekly_payment*biweekly_N+down_payment</f>
        <v>269283.7507905727</v>
      </c>
      <c r="F16" s="47"/>
      <c r="G16" s="229" t="s">
        <v>157</v>
      </c>
      <c r="H16" s="230">
        <f>B16-E16</f>
        <v>28735.290415964904</v>
      </c>
    </row>
    <row r="17" spans="1:8" ht="13.5" thickBot="1">
      <c r="A17" s="227" t="s">
        <v>158</v>
      </c>
      <c r="B17" s="228">
        <f>monthly_payment*monthly_N-mortgage</f>
        <v>148019.04120653763</v>
      </c>
      <c r="D17" s="227" t="s">
        <v>158</v>
      </c>
      <c r="E17" s="228">
        <f>biweekly_payment*biweekly_N-mortgage</f>
        <v>119283.75079057273</v>
      </c>
      <c r="F17" s="69"/>
      <c r="G17" s="231" t="s">
        <v>157</v>
      </c>
      <c r="H17" s="232">
        <f>B17-E17</f>
        <v>28735.290415964904</v>
      </c>
    </row>
    <row r="18" ht="13.5" thickBot="1"/>
    <row r="19" spans="1:4" ht="12.75">
      <c r="A19" s="84" t="s">
        <v>13</v>
      </c>
      <c r="B19" s="43"/>
      <c r="C19" s="43"/>
      <c r="D19" s="79" t="s">
        <v>163</v>
      </c>
    </row>
    <row r="20" spans="1:4" ht="12.75">
      <c r="A20" s="46" t="s">
        <v>159</v>
      </c>
      <c r="B20" s="47"/>
      <c r="C20" s="47"/>
      <c r="D20" s="50" t="s">
        <v>164</v>
      </c>
    </row>
    <row r="21" spans="1:4" ht="12.75">
      <c r="A21" s="46" t="s">
        <v>160</v>
      </c>
      <c r="B21" s="47"/>
      <c r="C21" s="47"/>
      <c r="D21" s="50" t="s">
        <v>165</v>
      </c>
    </row>
    <row r="22" spans="1:4" ht="12.75">
      <c r="A22" s="46" t="s">
        <v>161</v>
      </c>
      <c r="B22" s="47"/>
      <c r="C22" s="47"/>
      <c r="D22" s="50" t="s">
        <v>166</v>
      </c>
    </row>
    <row r="23" spans="1:4" ht="12.75">
      <c r="A23" s="46" t="s">
        <v>187</v>
      </c>
      <c r="B23" s="47"/>
      <c r="C23" s="47"/>
      <c r="D23" s="50" t="s">
        <v>167</v>
      </c>
    </row>
    <row r="24" spans="1:4" ht="13.5" thickBot="1">
      <c r="A24" s="68" t="s">
        <v>162</v>
      </c>
      <c r="B24" s="69"/>
      <c r="C24" s="69"/>
      <c r="D24" s="70" t="s">
        <v>168</v>
      </c>
    </row>
  </sheetData>
  <mergeCells count="1">
    <mergeCell ref="A1:H1"/>
  </mergeCells>
  <printOptions gridLines="1" headings="1" horizontalCentered="1" verticalCentered="1"/>
  <pageMargins left="0.8" right="0.8" top="1" bottom="1" header="0.5" footer="0.5"/>
  <pageSetup fitToHeight="1" fitToWidth="1" horizontalDpi="300" verticalDpi="3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Formulas="1" workbookViewId="0" topLeftCell="A1">
      <selection activeCell="E30" sqref="E30"/>
    </sheetView>
  </sheetViews>
  <sheetFormatPr defaultColWidth="9.140625" defaultRowHeight="12.75"/>
  <cols>
    <col min="1" max="1" width="5.140625" style="0" customWidth="1"/>
    <col min="2" max="2" width="10.00390625" style="0" customWidth="1"/>
    <col min="3" max="3" width="11.00390625" style="0" customWidth="1"/>
    <col min="4" max="4" width="9.421875" style="0" bestFit="1" customWidth="1"/>
    <col min="5" max="5" width="8.00390625" style="0" customWidth="1"/>
    <col min="6" max="6" width="1.421875" style="0" customWidth="1"/>
  </cols>
  <sheetData>
    <row r="1" spans="1:5" ht="35.25">
      <c r="A1" s="239" t="s">
        <v>12</v>
      </c>
      <c r="B1" s="239"/>
      <c r="C1" s="239"/>
      <c r="D1" s="239"/>
      <c r="E1" s="239"/>
    </row>
    <row r="2" ht="13.5" thickBot="1"/>
    <row r="3" spans="1:3" ht="12.75">
      <c r="A3" s="130"/>
      <c r="B3" s="131" t="s">
        <v>0</v>
      </c>
      <c r="C3" s="132">
        <v>5000</v>
      </c>
    </row>
    <row r="4" spans="1:3" ht="12.75">
      <c r="A4" s="106"/>
      <c r="B4" s="133" t="s">
        <v>1</v>
      </c>
      <c r="C4" s="134">
        <v>0.1</v>
      </c>
    </row>
    <row r="5" spans="1:3" ht="12.75">
      <c r="A5" s="240" t="s">
        <v>2</v>
      </c>
      <c r="B5" s="241"/>
      <c r="C5" s="104">
        <v>2</v>
      </c>
    </row>
    <row r="6" spans="1:3" ht="13.5" thickBot="1">
      <c r="A6" s="242" t="s">
        <v>3</v>
      </c>
      <c r="B6" s="243"/>
      <c r="C6" s="137">
        <v>1200</v>
      </c>
    </row>
    <row r="8" spans="1:5" ht="12.75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</row>
    <row r="9" spans="1:5" ht="12.75">
      <c r="A9" s="3">
        <f>1/n</f>
        <v>0.5</v>
      </c>
      <c r="B9" s="2">
        <f>principal</f>
        <v>5000</v>
      </c>
      <c r="C9" s="2">
        <f>B9*rate/n</f>
        <v>250</v>
      </c>
      <c r="D9" s="2">
        <f>regular_contribution</f>
        <v>1200</v>
      </c>
      <c r="E9" s="2">
        <f>B9+C9+D9</f>
        <v>6450</v>
      </c>
    </row>
    <row r="10" spans="1:5" ht="12.75">
      <c r="A10" s="3">
        <f>A9+1/n</f>
        <v>1</v>
      </c>
      <c r="B10" s="2">
        <f>E9</f>
        <v>6450</v>
      </c>
      <c r="C10" s="2">
        <f aca="true" t="shared" si="0" ref="C10:C28">B10*rate/n</f>
        <v>322.5</v>
      </c>
      <c r="D10" s="2">
        <f aca="true" t="shared" si="1" ref="D10:D28">regular_contribution</f>
        <v>1200</v>
      </c>
      <c r="E10" s="2">
        <f aca="true" t="shared" si="2" ref="E10:E28">B10+C10+D10</f>
        <v>7972.5</v>
      </c>
    </row>
    <row r="11" spans="1:5" ht="12.75">
      <c r="A11" s="3">
        <f aca="true" t="shared" si="3" ref="A11:A27">A10+1/n</f>
        <v>1.5</v>
      </c>
      <c r="B11" s="2">
        <f aca="true" t="shared" si="4" ref="B11:B28">E10</f>
        <v>7972.5</v>
      </c>
      <c r="C11" s="2">
        <f t="shared" si="0"/>
        <v>398.625</v>
      </c>
      <c r="D11" s="2">
        <f t="shared" si="1"/>
        <v>1200</v>
      </c>
      <c r="E11" s="2">
        <f t="shared" si="2"/>
        <v>9571.125</v>
      </c>
    </row>
    <row r="12" spans="1:5" ht="12.75">
      <c r="A12" s="3">
        <f t="shared" si="3"/>
        <v>2</v>
      </c>
      <c r="B12" s="2">
        <f t="shared" si="4"/>
        <v>9571.125</v>
      </c>
      <c r="C12" s="2">
        <f t="shared" si="0"/>
        <v>478.55625000000003</v>
      </c>
      <c r="D12" s="2">
        <f t="shared" si="1"/>
        <v>1200</v>
      </c>
      <c r="E12" s="2">
        <f t="shared" si="2"/>
        <v>11249.68125</v>
      </c>
    </row>
    <row r="13" spans="1:5" ht="12.75">
      <c r="A13" s="3">
        <f t="shared" si="3"/>
        <v>2.5</v>
      </c>
      <c r="B13" s="2">
        <f t="shared" si="4"/>
        <v>11249.68125</v>
      </c>
      <c r="C13" s="2">
        <f t="shared" si="0"/>
        <v>562.4840625</v>
      </c>
      <c r="D13" s="2">
        <f t="shared" si="1"/>
        <v>1200</v>
      </c>
      <c r="E13" s="2">
        <f t="shared" si="2"/>
        <v>13012.1653125</v>
      </c>
    </row>
    <row r="14" spans="1:5" ht="12.75">
      <c r="A14" s="3">
        <f t="shared" si="3"/>
        <v>3</v>
      </c>
      <c r="B14" s="2">
        <f t="shared" si="4"/>
        <v>13012.1653125</v>
      </c>
      <c r="C14" s="2">
        <f t="shared" si="0"/>
        <v>650.6082656250001</v>
      </c>
      <c r="D14" s="2">
        <f t="shared" si="1"/>
        <v>1200</v>
      </c>
      <c r="E14" s="2">
        <f t="shared" si="2"/>
        <v>14862.773578125</v>
      </c>
    </row>
    <row r="15" spans="1:5" ht="12.75">
      <c r="A15" s="3">
        <f t="shared" si="3"/>
        <v>3.5</v>
      </c>
      <c r="B15" s="2">
        <f t="shared" si="4"/>
        <v>14862.773578125</v>
      </c>
      <c r="C15" s="2">
        <f t="shared" si="0"/>
        <v>743.13867890625</v>
      </c>
      <c r="D15" s="2">
        <f t="shared" si="1"/>
        <v>1200</v>
      </c>
      <c r="E15" s="2">
        <f t="shared" si="2"/>
        <v>16805.91225703125</v>
      </c>
    </row>
    <row r="16" spans="1:5" ht="12.75">
      <c r="A16" s="3">
        <f t="shared" si="3"/>
        <v>4</v>
      </c>
      <c r="B16" s="2">
        <f t="shared" si="4"/>
        <v>16805.91225703125</v>
      </c>
      <c r="C16" s="2">
        <f t="shared" si="0"/>
        <v>840.2956128515625</v>
      </c>
      <c r="D16" s="2">
        <f t="shared" si="1"/>
        <v>1200</v>
      </c>
      <c r="E16" s="2">
        <f t="shared" si="2"/>
        <v>18846.20786988281</v>
      </c>
    </row>
    <row r="17" spans="1:5" ht="12.75">
      <c r="A17" s="3">
        <f t="shared" si="3"/>
        <v>4.5</v>
      </c>
      <c r="B17" s="2">
        <f t="shared" si="4"/>
        <v>18846.20786988281</v>
      </c>
      <c r="C17" s="2">
        <f t="shared" si="0"/>
        <v>942.3103934941406</v>
      </c>
      <c r="D17" s="2">
        <f t="shared" si="1"/>
        <v>1200</v>
      </c>
      <c r="E17" s="2">
        <f t="shared" si="2"/>
        <v>20988.51826337695</v>
      </c>
    </row>
    <row r="18" spans="1:5" ht="12.75">
      <c r="A18" s="3">
        <f t="shared" si="3"/>
        <v>5</v>
      </c>
      <c r="B18" s="2">
        <f t="shared" si="4"/>
        <v>20988.51826337695</v>
      </c>
      <c r="C18" s="2">
        <f t="shared" si="0"/>
        <v>1049.4259131688475</v>
      </c>
      <c r="D18" s="2">
        <f t="shared" si="1"/>
        <v>1200</v>
      </c>
      <c r="E18" s="2">
        <f t="shared" si="2"/>
        <v>23237.9441765458</v>
      </c>
    </row>
    <row r="19" spans="1:5" ht="12.75">
      <c r="A19" s="3">
        <f t="shared" si="3"/>
        <v>5.5</v>
      </c>
      <c r="B19" s="2">
        <f t="shared" si="4"/>
        <v>23237.9441765458</v>
      </c>
      <c r="C19" s="2">
        <f t="shared" si="0"/>
        <v>1161.8972088272901</v>
      </c>
      <c r="D19" s="2">
        <f t="shared" si="1"/>
        <v>1200</v>
      </c>
      <c r="E19" s="2">
        <f t="shared" si="2"/>
        <v>25599.84138537309</v>
      </c>
    </row>
    <row r="20" spans="1:5" ht="12.75">
      <c r="A20" s="3">
        <f t="shared" si="3"/>
        <v>6</v>
      </c>
      <c r="B20" s="2">
        <f t="shared" si="4"/>
        <v>25599.84138537309</v>
      </c>
      <c r="C20" s="2">
        <f t="shared" si="0"/>
        <v>1279.9920692686546</v>
      </c>
      <c r="D20" s="2">
        <f t="shared" si="1"/>
        <v>1200</v>
      </c>
      <c r="E20" s="2">
        <f t="shared" si="2"/>
        <v>28079.833454641743</v>
      </c>
    </row>
    <row r="21" spans="1:5" ht="12.75">
      <c r="A21" s="3">
        <f t="shared" si="3"/>
        <v>6.5</v>
      </c>
      <c r="B21" s="2">
        <f t="shared" si="4"/>
        <v>28079.833454641743</v>
      </c>
      <c r="C21" s="2">
        <f t="shared" si="0"/>
        <v>1403.9916727320872</v>
      </c>
      <c r="D21" s="2">
        <f t="shared" si="1"/>
        <v>1200</v>
      </c>
      <c r="E21" s="2">
        <f t="shared" si="2"/>
        <v>30683.82512737383</v>
      </c>
    </row>
    <row r="22" spans="1:5" ht="12.75">
      <c r="A22" s="3">
        <f t="shared" si="3"/>
        <v>7</v>
      </c>
      <c r="B22" s="2">
        <f t="shared" si="4"/>
        <v>30683.82512737383</v>
      </c>
      <c r="C22" s="2">
        <f t="shared" si="0"/>
        <v>1534.1912563686917</v>
      </c>
      <c r="D22" s="2">
        <f t="shared" si="1"/>
        <v>1200</v>
      </c>
      <c r="E22" s="2">
        <f t="shared" si="2"/>
        <v>33418.01638374252</v>
      </c>
    </row>
    <row r="23" spans="1:5" ht="12.75">
      <c r="A23" s="3">
        <f t="shared" si="3"/>
        <v>7.5</v>
      </c>
      <c r="B23" s="2">
        <f t="shared" si="4"/>
        <v>33418.01638374252</v>
      </c>
      <c r="C23" s="2">
        <f t="shared" si="0"/>
        <v>1670.9008191871262</v>
      </c>
      <c r="D23" s="2">
        <f t="shared" si="1"/>
        <v>1200</v>
      </c>
      <c r="E23" s="2">
        <f t="shared" si="2"/>
        <v>36288.917202929646</v>
      </c>
    </row>
    <row r="24" spans="1:5" ht="12.75">
      <c r="A24" s="3">
        <f t="shared" si="3"/>
        <v>8</v>
      </c>
      <c r="B24" s="2">
        <f t="shared" si="4"/>
        <v>36288.917202929646</v>
      </c>
      <c r="C24" s="2">
        <f t="shared" si="0"/>
        <v>1814.4458601464823</v>
      </c>
      <c r="D24" s="2">
        <f t="shared" si="1"/>
        <v>1200</v>
      </c>
      <c r="E24" s="2">
        <f t="shared" si="2"/>
        <v>39303.363063076125</v>
      </c>
    </row>
    <row r="25" spans="1:5" ht="12.75">
      <c r="A25" s="3">
        <f t="shared" si="3"/>
        <v>8.5</v>
      </c>
      <c r="B25" s="2">
        <f t="shared" si="4"/>
        <v>39303.363063076125</v>
      </c>
      <c r="C25" s="2">
        <f t="shared" si="0"/>
        <v>1965.1681531538063</v>
      </c>
      <c r="D25" s="2">
        <f t="shared" si="1"/>
        <v>1200</v>
      </c>
      <c r="E25" s="2">
        <f t="shared" si="2"/>
        <v>42468.53121622993</v>
      </c>
    </row>
    <row r="26" spans="1:5" ht="12.75">
      <c r="A26" s="3">
        <f t="shared" si="3"/>
        <v>9</v>
      </c>
      <c r="B26" s="2">
        <f t="shared" si="4"/>
        <v>42468.53121622993</v>
      </c>
      <c r="C26" s="2">
        <f t="shared" si="0"/>
        <v>2123.4265608114965</v>
      </c>
      <c r="D26" s="2">
        <f t="shared" si="1"/>
        <v>1200</v>
      </c>
      <c r="E26" s="2">
        <f t="shared" si="2"/>
        <v>45791.957777041425</v>
      </c>
    </row>
    <row r="27" spans="1:5" ht="12.75">
      <c r="A27" s="3">
        <f t="shared" si="3"/>
        <v>9.5</v>
      </c>
      <c r="B27" s="2">
        <f t="shared" si="4"/>
        <v>45791.957777041425</v>
      </c>
      <c r="C27" s="2">
        <f t="shared" si="0"/>
        <v>2289.5978888520713</v>
      </c>
      <c r="D27" s="2">
        <f t="shared" si="1"/>
        <v>1200</v>
      </c>
      <c r="E27" s="2">
        <f t="shared" si="2"/>
        <v>49281.555665893495</v>
      </c>
    </row>
    <row r="28" spans="1:5" ht="12.75">
      <c r="A28" s="3">
        <f>A27+1/n</f>
        <v>10</v>
      </c>
      <c r="B28" s="2">
        <f t="shared" si="4"/>
        <v>49281.555665893495</v>
      </c>
      <c r="C28" s="2">
        <f t="shared" si="0"/>
        <v>2464.077783294675</v>
      </c>
      <c r="D28" s="2">
        <f t="shared" si="1"/>
        <v>1200</v>
      </c>
      <c r="E28" s="2">
        <f t="shared" si="2"/>
        <v>52945.63344918817</v>
      </c>
    </row>
    <row r="30" spans="2:3" ht="12.75">
      <c r="B30" s="138" t="s">
        <v>9</v>
      </c>
      <c r="C30" s="139">
        <f>SUM(C9:C28)</f>
        <v>23945.63344918818</v>
      </c>
    </row>
    <row r="31" spans="2:3" ht="13.5" thickBot="1">
      <c r="B31" s="140" t="s">
        <v>10</v>
      </c>
      <c r="C31" s="141">
        <f>principal+SUM(D9:D28)</f>
        <v>29000</v>
      </c>
    </row>
    <row r="32" spans="2:3" ht="13.5" thickBot="1">
      <c r="B32" s="142" t="s">
        <v>11</v>
      </c>
      <c r="C32" s="143">
        <f>SUM(C30:C31)</f>
        <v>52945.63344918818</v>
      </c>
    </row>
    <row r="33" ht="14.25" thickBot="1" thickTop="1"/>
    <row r="34" spans="2:3" ht="12.75">
      <c r="B34" s="237" t="s">
        <v>13</v>
      </c>
      <c r="C34" s="238"/>
    </row>
    <row r="35" spans="2:3" ht="12.75">
      <c r="B35" s="246" t="s">
        <v>14</v>
      </c>
      <c r="C35" s="247"/>
    </row>
    <row r="36" spans="2:3" ht="12.75">
      <c r="B36" s="246" t="s">
        <v>15</v>
      </c>
      <c r="C36" s="247"/>
    </row>
    <row r="37" spans="2:3" ht="12.75">
      <c r="B37" s="246" t="s">
        <v>16</v>
      </c>
      <c r="C37" s="247"/>
    </row>
    <row r="38" spans="2:3" ht="13.5" thickBot="1">
      <c r="B38" s="248" t="s">
        <v>171</v>
      </c>
      <c r="C38" s="249"/>
    </row>
  </sheetData>
  <mergeCells count="8">
    <mergeCell ref="B37:C37"/>
    <mergeCell ref="B38:C38"/>
    <mergeCell ref="A1:E1"/>
    <mergeCell ref="B34:C34"/>
    <mergeCell ref="B35:C35"/>
    <mergeCell ref="B36:C36"/>
    <mergeCell ref="A5:B5"/>
    <mergeCell ref="A6:B6"/>
  </mergeCells>
  <printOptions gridLines="1" headings="1"/>
  <pageMargins left="0.5" right="0.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:K1"/>
    </sheetView>
  </sheetViews>
  <sheetFormatPr defaultColWidth="9.140625" defaultRowHeight="12.75"/>
  <cols>
    <col min="1" max="1" width="22.421875" style="0" customWidth="1"/>
    <col min="2" max="2" width="13.28125" style="0" customWidth="1"/>
    <col min="3" max="3" width="11.57421875" style="0" customWidth="1"/>
    <col min="4" max="4" width="13.28125" style="0" customWidth="1"/>
    <col min="5" max="5" width="3.140625" style="0" customWidth="1"/>
    <col min="6" max="6" width="5.28125" style="0" customWidth="1"/>
    <col min="7" max="7" width="14.421875" style="0" customWidth="1"/>
    <col min="8" max="8" width="11.8515625" style="0" customWidth="1"/>
    <col min="9" max="9" width="13.57421875" style="0" customWidth="1"/>
    <col min="10" max="10" width="13.421875" style="0" customWidth="1"/>
    <col min="11" max="11" width="8.00390625" style="0" customWidth="1"/>
  </cols>
  <sheetData>
    <row r="1" spans="1:11" ht="26.25">
      <c r="A1" s="251" t="s">
        <v>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0" ht="13.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2.75">
      <c r="A3" s="147"/>
      <c r="B3" s="148"/>
      <c r="C3" s="149" t="s">
        <v>0</v>
      </c>
      <c r="D3" s="150">
        <v>20000</v>
      </c>
      <c r="E3" s="4"/>
      <c r="F3" s="8" t="s">
        <v>19</v>
      </c>
      <c r="G3" s="9"/>
      <c r="H3" s="9"/>
      <c r="I3" s="9"/>
      <c r="J3" s="9"/>
      <c r="K3" s="10"/>
      <c r="L3" s="10"/>
    </row>
    <row r="4" spans="1:10" ht="12.75">
      <c r="A4" s="151"/>
      <c r="B4" s="152"/>
      <c r="C4" s="153" t="s">
        <v>1</v>
      </c>
      <c r="D4" s="154">
        <v>0.09</v>
      </c>
      <c r="E4" s="4"/>
      <c r="F4" s="9" t="s">
        <v>20</v>
      </c>
      <c r="G4" s="4"/>
      <c r="H4" s="4"/>
      <c r="I4" s="4"/>
      <c r="J4" s="4"/>
    </row>
    <row r="5" spans="1:10" ht="12.75">
      <c r="A5" s="155"/>
      <c r="B5" s="156"/>
      <c r="C5" s="157" t="s">
        <v>21</v>
      </c>
      <c r="D5" s="158">
        <v>0.5</v>
      </c>
      <c r="E5" s="4"/>
      <c r="F5" s="4"/>
      <c r="G5" s="4"/>
      <c r="H5" s="4"/>
      <c r="I5" s="4"/>
      <c r="J5" s="4"/>
    </row>
    <row r="6" spans="1:10" ht="13.5" thickBot="1">
      <c r="A6" s="159"/>
      <c r="B6" s="160"/>
      <c r="C6" s="161" t="s">
        <v>22</v>
      </c>
      <c r="D6" s="162">
        <v>0.3</v>
      </c>
      <c r="E6" s="4"/>
      <c r="F6" s="4"/>
      <c r="G6" s="4"/>
      <c r="H6" s="4"/>
      <c r="I6" s="4"/>
      <c r="J6" s="4"/>
    </row>
    <row r="7" spans="1:10" ht="13.5" thickBot="1">
      <c r="A7" s="4"/>
      <c r="B7" s="12"/>
      <c r="C7" s="15"/>
      <c r="D7" s="16"/>
      <c r="E7" s="4"/>
      <c r="F7" s="4"/>
      <c r="G7" s="4"/>
      <c r="H7" s="4"/>
      <c r="I7" s="4"/>
      <c r="J7" s="4"/>
    </row>
    <row r="8" spans="1:10" ht="12.75">
      <c r="A8" s="144"/>
      <c r="B8" s="145"/>
      <c r="C8" s="7" t="s">
        <v>23</v>
      </c>
      <c r="D8" s="146">
        <f>principle*income_tax_rate</f>
        <v>6000</v>
      </c>
      <c r="E8" s="4"/>
      <c r="F8" s="5"/>
      <c r="G8" s="6"/>
      <c r="H8" s="7" t="s">
        <v>23</v>
      </c>
      <c r="I8" s="17">
        <f>principle*0%</f>
        <v>0</v>
      </c>
      <c r="J8" s="4"/>
    </row>
    <row r="9" spans="1:10" ht="13.5" thickBot="1">
      <c r="A9" s="163"/>
      <c r="B9" s="164"/>
      <c r="C9" s="165" t="s">
        <v>24</v>
      </c>
      <c r="D9" s="166">
        <v>6000</v>
      </c>
      <c r="E9" s="4"/>
      <c r="F9" s="13"/>
      <c r="G9" s="14"/>
      <c r="H9" s="14"/>
      <c r="I9" s="19"/>
      <c r="J9" s="4"/>
    </row>
    <row r="10" spans="1:10" ht="13.5" thickBot="1">
      <c r="A10" s="20"/>
      <c r="B10" s="21"/>
      <c r="C10" s="22" t="s">
        <v>25</v>
      </c>
      <c r="D10" s="23">
        <f>income_tax_saving-additional_investment</f>
        <v>0</v>
      </c>
      <c r="E10" s="4"/>
      <c r="F10" s="24" t="s">
        <v>26</v>
      </c>
      <c r="G10" s="12"/>
      <c r="H10" s="4"/>
      <c r="I10" s="4"/>
      <c r="J10" s="4"/>
    </row>
    <row r="11" spans="1:10" ht="13.5" thickBot="1">
      <c r="A11" s="4"/>
      <c r="B11" s="4"/>
      <c r="C11" s="25"/>
      <c r="D11" s="4"/>
      <c r="E11" s="4"/>
      <c r="F11" s="4"/>
      <c r="G11" s="4"/>
      <c r="H11" s="4"/>
      <c r="I11" s="4"/>
      <c r="J11" s="4"/>
    </row>
    <row r="12" spans="1:10" ht="18.75" thickBot="1">
      <c r="A12" s="252" t="s">
        <v>27</v>
      </c>
      <c r="B12" s="253"/>
      <c r="C12" s="253"/>
      <c r="D12" s="254"/>
      <c r="E12" s="9"/>
      <c r="F12" s="252" t="s">
        <v>28</v>
      </c>
      <c r="G12" s="253"/>
      <c r="H12" s="253"/>
      <c r="I12" s="253"/>
      <c r="J12" s="254"/>
    </row>
    <row r="13" spans="1:10" ht="13.5" thickBot="1">
      <c r="A13" s="26" t="s">
        <v>4</v>
      </c>
      <c r="B13" s="27" t="s">
        <v>5</v>
      </c>
      <c r="C13" s="27" t="s">
        <v>6</v>
      </c>
      <c r="D13" s="28" t="s">
        <v>8</v>
      </c>
      <c r="E13" s="29"/>
      <c r="F13" s="26" t="s">
        <v>4</v>
      </c>
      <c r="G13" s="27" t="s">
        <v>5</v>
      </c>
      <c r="H13" s="27" t="s">
        <v>6</v>
      </c>
      <c r="I13" s="27" t="s">
        <v>19</v>
      </c>
      <c r="J13" s="28" t="s">
        <v>8</v>
      </c>
    </row>
    <row r="14" spans="1:10" ht="12.75">
      <c r="A14" s="11">
        <v>1</v>
      </c>
      <c r="B14" s="30">
        <f>principle+additional_investment</f>
        <v>26000</v>
      </c>
      <c r="C14" s="30">
        <f>B14*interest_rate</f>
        <v>2340</v>
      </c>
      <c r="D14" s="31">
        <f>B14+C14</f>
        <v>28340</v>
      </c>
      <c r="E14" s="4"/>
      <c r="F14" s="5">
        <v>1</v>
      </c>
      <c r="G14" s="32">
        <f>principle</f>
        <v>20000</v>
      </c>
      <c r="H14" s="32">
        <f>G14*interest_rate</f>
        <v>1800</v>
      </c>
      <c r="I14" s="32">
        <f>H14*capital_gain_tax_portion*income_tax_rate</f>
        <v>270</v>
      </c>
      <c r="J14" s="33">
        <f>G14+H14-I14</f>
        <v>21530</v>
      </c>
    </row>
    <row r="15" spans="1:10" ht="12.75">
      <c r="A15" s="11">
        <f>A14+1</f>
        <v>2</v>
      </c>
      <c r="B15" s="30">
        <f>D14</f>
        <v>28340</v>
      </c>
      <c r="C15" s="30">
        <f aca="true" t="shared" si="0" ref="C15:C43">B15*interest_rate</f>
        <v>2550.6</v>
      </c>
      <c r="D15" s="31">
        <f aca="true" t="shared" si="1" ref="D15:D43">B15+C15</f>
        <v>30890.6</v>
      </c>
      <c r="E15" s="4"/>
      <c r="F15" s="11">
        <f>F14+1</f>
        <v>2</v>
      </c>
      <c r="G15" s="30">
        <f>J14</f>
        <v>21530</v>
      </c>
      <c r="H15" s="30">
        <f aca="true" t="shared" si="2" ref="H15:H43">G15*interest_rate</f>
        <v>1937.6999999999998</v>
      </c>
      <c r="I15" s="30">
        <f aca="true" t="shared" si="3" ref="I15:I43">H15*capital_gain_tax_portion*income_tax_rate</f>
        <v>290.655</v>
      </c>
      <c r="J15" s="34">
        <f aca="true" t="shared" si="4" ref="J15:J43">G15+H15-I15</f>
        <v>23177.045000000002</v>
      </c>
    </row>
    <row r="16" spans="1:10" ht="12.75">
      <c r="A16" s="11">
        <f aca="true" t="shared" si="5" ref="A16:A43">A15+1</f>
        <v>3</v>
      </c>
      <c r="B16" s="30">
        <f aca="true" t="shared" si="6" ref="B16:B43">D15</f>
        <v>30890.6</v>
      </c>
      <c r="C16" s="30">
        <f t="shared" si="0"/>
        <v>2780.1539999999995</v>
      </c>
      <c r="D16" s="31">
        <f t="shared" si="1"/>
        <v>33670.754</v>
      </c>
      <c r="E16" s="4"/>
      <c r="F16" s="11">
        <f aca="true" t="shared" si="7" ref="F16:F43">F15+1</f>
        <v>3</v>
      </c>
      <c r="G16" s="30">
        <f aca="true" t="shared" si="8" ref="G16:G43">J15</f>
        <v>23177.045000000002</v>
      </c>
      <c r="H16" s="30">
        <f t="shared" si="2"/>
        <v>2085.9340500000003</v>
      </c>
      <c r="I16" s="30">
        <f t="shared" si="3"/>
        <v>312.89010750000006</v>
      </c>
      <c r="J16" s="34">
        <f t="shared" si="4"/>
        <v>24950.088942500002</v>
      </c>
    </row>
    <row r="17" spans="1:10" ht="12.75">
      <c r="A17" s="11">
        <f t="shared" si="5"/>
        <v>4</v>
      </c>
      <c r="B17" s="30">
        <f t="shared" si="6"/>
        <v>33670.754</v>
      </c>
      <c r="C17" s="30">
        <f t="shared" si="0"/>
        <v>3030.36786</v>
      </c>
      <c r="D17" s="31">
        <f t="shared" si="1"/>
        <v>36701.12186</v>
      </c>
      <c r="E17" s="4"/>
      <c r="F17" s="11">
        <f t="shared" si="7"/>
        <v>4</v>
      </c>
      <c r="G17" s="30">
        <f t="shared" si="8"/>
        <v>24950.088942500002</v>
      </c>
      <c r="H17" s="30">
        <f t="shared" si="2"/>
        <v>2245.508004825</v>
      </c>
      <c r="I17" s="30">
        <f t="shared" si="3"/>
        <v>336.82620072375</v>
      </c>
      <c r="J17" s="34">
        <f t="shared" si="4"/>
        <v>26858.77074660125</v>
      </c>
    </row>
    <row r="18" spans="1:10" ht="12.75">
      <c r="A18" s="11">
        <f t="shared" si="5"/>
        <v>5</v>
      </c>
      <c r="B18" s="30">
        <f t="shared" si="6"/>
        <v>36701.12186</v>
      </c>
      <c r="C18" s="30">
        <f t="shared" si="0"/>
        <v>3303.1009673999997</v>
      </c>
      <c r="D18" s="31">
        <f t="shared" si="1"/>
        <v>40004.2228274</v>
      </c>
      <c r="E18" s="4"/>
      <c r="F18" s="11">
        <f t="shared" si="7"/>
        <v>5</v>
      </c>
      <c r="G18" s="30">
        <f t="shared" si="8"/>
        <v>26858.77074660125</v>
      </c>
      <c r="H18" s="30">
        <f t="shared" si="2"/>
        <v>2417.2893671941124</v>
      </c>
      <c r="I18" s="30">
        <f t="shared" si="3"/>
        <v>362.59340507911685</v>
      </c>
      <c r="J18" s="34">
        <f t="shared" si="4"/>
        <v>28913.466708716245</v>
      </c>
    </row>
    <row r="19" spans="1:10" ht="12.75">
      <c r="A19" s="11">
        <f t="shared" si="5"/>
        <v>6</v>
      </c>
      <c r="B19" s="30">
        <f t="shared" si="6"/>
        <v>40004.2228274</v>
      </c>
      <c r="C19" s="30">
        <f t="shared" si="0"/>
        <v>3600.380054466</v>
      </c>
      <c r="D19" s="31">
        <f t="shared" si="1"/>
        <v>43604.602881866</v>
      </c>
      <c r="E19" s="4"/>
      <c r="F19" s="11">
        <f t="shared" si="7"/>
        <v>6</v>
      </c>
      <c r="G19" s="30">
        <f t="shared" si="8"/>
        <v>28913.466708716245</v>
      </c>
      <c r="H19" s="30">
        <f t="shared" si="2"/>
        <v>2602.212003784462</v>
      </c>
      <c r="I19" s="30">
        <f t="shared" si="3"/>
        <v>390.3318005676693</v>
      </c>
      <c r="J19" s="34">
        <f t="shared" si="4"/>
        <v>31125.346911933037</v>
      </c>
    </row>
    <row r="20" spans="1:10" ht="12.75">
      <c r="A20" s="11">
        <f t="shared" si="5"/>
        <v>7</v>
      </c>
      <c r="B20" s="30">
        <f t="shared" si="6"/>
        <v>43604.602881866</v>
      </c>
      <c r="C20" s="30">
        <f t="shared" si="0"/>
        <v>3924.41425936794</v>
      </c>
      <c r="D20" s="31">
        <f t="shared" si="1"/>
        <v>47529.01714123394</v>
      </c>
      <c r="E20" s="4"/>
      <c r="F20" s="11">
        <f t="shared" si="7"/>
        <v>7</v>
      </c>
      <c r="G20" s="30">
        <f t="shared" si="8"/>
        <v>31125.346911933037</v>
      </c>
      <c r="H20" s="30">
        <f t="shared" si="2"/>
        <v>2801.2812220739734</v>
      </c>
      <c r="I20" s="30">
        <f t="shared" si="3"/>
        <v>420.192183311096</v>
      </c>
      <c r="J20" s="34">
        <f t="shared" si="4"/>
        <v>33506.435950695915</v>
      </c>
    </row>
    <row r="21" spans="1:10" ht="12.75">
      <c r="A21" s="11">
        <f t="shared" si="5"/>
        <v>8</v>
      </c>
      <c r="B21" s="30">
        <f t="shared" si="6"/>
        <v>47529.01714123394</v>
      </c>
      <c r="C21" s="30">
        <f t="shared" si="0"/>
        <v>4277.611542711054</v>
      </c>
      <c r="D21" s="31">
        <f t="shared" si="1"/>
        <v>51806.628683945</v>
      </c>
      <c r="E21" s="4"/>
      <c r="F21" s="11">
        <f t="shared" si="7"/>
        <v>8</v>
      </c>
      <c r="G21" s="30">
        <f t="shared" si="8"/>
        <v>33506.435950695915</v>
      </c>
      <c r="H21" s="30">
        <f t="shared" si="2"/>
        <v>3015.579235562632</v>
      </c>
      <c r="I21" s="30">
        <f t="shared" si="3"/>
        <v>452.3368853343948</v>
      </c>
      <c r="J21" s="34">
        <f t="shared" si="4"/>
        <v>36069.678300924155</v>
      </c>
    </row>
    <row r="22" spans="1:10" ht="12.75">
      <c r="A22" s="11">
        <f t="shared" si="5"/>
        <v>9</v>
      </c>
      <c r="B22" s="30">
        <f t="shared" si="6"/>
        <v>51806.628683945</v>
      </c>
      <c r="C22" s="30">
        <f t="shared" si="0"/>
        <v>4662.59658155505</v>
      </c>
      <c r="D22" s="31">
        <f t="shared" si="1"/>
        <v>56469.22526550005</v>
      </c>
      <c r="E22" s="4"/>
      <c r="F22" s="11">
        <f t="shared" si="7"/>
        <v>9</v>
      </c>
      <c r="G22" s="30">
        <f t="shared" si="8"/>
        <v>36069.678300924155</v>
      </c>
      <c r="H22" s="30">
        <f t="shared" si="2"/>
        <v>3246.271047083174</v>
      </c>
      <c r="I22" s="30">
        <f t="shared" si="3"/>
        <v>486.9406570624761</v>
      </c>
      <c r="J22" s="34">
        <f t="shared" si="4"/>
        <v>38829.00869094485</v>
      </c>
    </row>
    <row r="23" spans="1:10" ht="12.75">
      <c r="A23" s="11">
        <f t="shared" si="5"/>
        <v>10</v>
      </c>
      <c r="B23" s="30">
        <f t="shared" si="6"/>
        <v>56469.22526550005</v>
      </c>
      <c r="C23" s="30">
        <f t="shared" si="0"/>
        <v>5082.230273895004</v>
      </c>
      <c r="D23" s="31">
        <f t="shared" si="1"/>
        <v>61551.45553939505</v>
      </c>
      <c r="E23" s="4"/>
      <c r="F23" s="11">
        <f t="shared" si="7"/>
        <v>10</v>
      </c>
      <c r="G23" s="30">
        <f t="shared" si="8"/>
        <v>38829.00869094485</v>
      </c>
      <c r="H23" s="30">
        <f t="shared" si="2"/>
        <v>3494.6107821850364</v>
      </c>
      <c r="I23" s="30">
        <f t="shared" si="3"/>
        <v>524.1916173277555</v>
      </c>
      <c r="J23" s="34">
        <f t="shared" si="4"/>
        <v>41799.42785580213</v>
      </c>
    </row>
    <row r="24" spans="1:10" ht="12.75">
      <c r="A24" s="11">
        <f t="shared" si="5"/>
        <v>11</v>
      </c>
      <c r="B24" s="30">
        <f t="shared" si="6"/>
        <v>61551.45553939505</v>
      </c>
      <c r="C24" s="30">
        <f t="shared" si="0"/>
        <v>5539.630998545555</v>
      </c>
      <c r="D24" s="31">
        <f t="shared" si="1"/>
        <v>67091.0865379406</v>
      </c>
      <c r="E24" s="4"/>
      <c r="F24" s="11">
        <f t="shared" si="7"/>
        <v>11</v>
      </c>
      <c r="G24" s="30">
        <f t="shared" si="8"/>
        <v>41799.42785580213</v>
      </c>
      <c r="H24" s="30">
        <f t="shared" si="2"/>
        <v>3761.9485070221917</v>
      </c>
      <c r="I24" s="30">
        <f t="shared" si="3"/>
        <v>564.2922760533287</v>
      </c>
      <c r="J24" s="34">
        <f t="shared" si="4"/>
        <v>44997.084086771</v>
      </c>
    </row>
    <row r="25" spans="1:10" ht="12.75">
      <c r="A25" s="11">
        <f t="shared" si="5"/>
        <v>12</v>
      </c>
      <c r="B25" s="30">
        <f t="shared" si="6"/>
        <v>67091.0865379406</v>
      </c>
      <c r="C25" s="30">
        <f t="shared" si="0"/>
        <v>6038.197788414654</v>
      </c>
      <c r="D25" s="31">
        <f t="shared" si="1"/>
        <v>73129.28432635525</v>
      </c>
      <c r="E25" s="4"/>
      <c r="F25" s="11">
        <f t="shared" si="7"/>
        <v>12</v>
      </c>
      <c r="G25" s="30">
        <f t="shared" si="8"/>
        <v>44997.084086771</v>
      </c>
      <c r="H25" s="30">
        <f t="shared" si="2"/>
        <v>4049.73756780939</v>
      </c>
      <c r="I25" s="30">
        <f t="shared" si="3"/>
        <v>607.4606351714085</v>
      </c>
      <c r="J25" s="34">
        <f t="shared" si="4"/>
        <v>48439.36101940898</v>
      </c>
    </row>
    <row r="26" spans="1:10" ht="12.75">
      <c r="A26" s="11">
        <f t="shared" si="5"/>
        <v>13</v>
      </c>
      <c r="B26" s="30">
        <f t="shared" si="6"/>
        <v>73129.28432635525</v>
      </c>
      <c r="C26" s="30">
        <f t="shared" si="0"/>
        <v>6581.635589371972</v>
      </c>
      <c r="D26" s="31">
        <f t="shared" si="1"/>
        <v>79710.91991572722</v>
      </c>
      <c r="E26" s="4"/>
      <c r="F26" s="11">
        <f t="shared" si="7"/>
        <v>13</v>
      </c>
      <c r="G26" s="30">
        <f t="shared" si="8"/>
        <v>48439.36101940898</v>
      </c>
      <c r="H26" s="30">
        <f t="shared" si="2"/>
        <v>4359.542491746808</v>
      </c>
      <c r="I26" s="30">
        <f t="shared" si="3"/>
        <v>653.9313737620212</v>
      </c>
      <c r="J26" s="34">
        <f t="shared" si="4"/>
        <v>52144.97213739377</v>
      </c>
    </row>
    <row r="27" spans="1:10" ht="12.75">
      <c r="A27" s="11">
        <f t="shared" si="5"/>
        <v>14</v>
      </c>
      <c r="B27" s="30">
        <f t="shared" si="6"/>
        <v>79710.91991572722</v>
      </c>
      <c r="C27" s="30">
        <f t="shared" si="0"/>
        <v>7173.98279241545</v>
      </c>
      <c r="D27" s="31">
        <f t="shared" si="1"/>
        <v>86884.90270814268</v>
      </c>
      <c r="E27" s="4"/>
      <c r="F27" s="11">
        <f t="shared" si="7"/>
        <v>14</v>
      </c>
      <c r="G27" s="30">
        <f t="shared" si="8"/>
        <v>52144.97213739377</v>
      </c>
      <c r="H27" s="30">
        <f t="shared" si="2"/>
        <v>4693.047492365439</v>
      </c>
      <c r="I27" s="30">
        <f t="shared" si="3"/>
        <v>703.9571238548159</v>
      </c>
      <c r="J27" s="34">
        <f t="shared" si="4"/>
        <v>56134.062505904396</v>
      </c>
    </row>
    <row r="28" spans="1:10" ht="12.75">
      <c r="A28" s="11">
        <f t="shared" si="5"/>
        <v>15</v>
      </c>
      <c r="B28" s="30">
        <f t="shared" si="6"/>
        <v>86884.90270814268</v>
      </c>
      <c r="C28" s="30">
        <f t="shared" si="0"/>
        <v>7819.641243732841</v>
      </c>
      <c r="D28" s="31">
        <f t="shared" si="1"/>
        <v>94704.54395187552</v>
      </c>
      <c r="E28" s="4"/>
      <c r="F28" s="11">
        <f t="shared" si="7"/>
        <v>15</v>
      </c>
      <c r="G28" s="30">
        <f t="shared" si="8"/>
        <v>56134.062505904396</v>
      </c>
      <c r="H28" s="30">
        <f t="shared" si="2"/>
        <v>5052.065625531395</v>
      </c>
      <c r="I28" s="30">
        <f t="shared" si="3"/>
        <v>757.8098438297093</v>
      </c>
      <c r="J28" s="34">
        <f t="shared" si="4"/>
        <v>60428.31828760608</v>
      </c>
    </row>
    <row r="29" spans="1:10" ht="12.75">
      <c r="A29" s="11">
        <f t="shared" si="5"/>
        <v>16</v>
      </c>
      <c r="B29" s="30">
        <f t="shared" si="6"/>
        <v>94704.54395187552</v>
      </c>
      <c r="C29" s="30">
        <f t="shared" si="0"/>
        <v>8523.408955668796</v>
      </c>
      <c r="D29" s="31">
        <f t="shared" si="1"/>
        <v>103227.95290754431</v>
      </c>
      <c r="E29" s="4"/>
      <c r="F29" s="11">
        <f t="shared" si="7"/>
        <v>16</v>
      </c>
      <c r="G29" s="30">
        <f t="shared" si="8"/>
        <v>60428.31828760608</v>
      </c>
      <c r="H29" s="30">
        <f t="shared" si="2"/>
        <v>5438.548645884547</v>
      </c>
      <c r="I29" s="30">
        <f t="shared" si="3"/>
        <v>815.7822968826821</v>
      </c>
      <c r="J29" s="34">
        <f t="shared" si="4"/>
        <v>65051.08463660795</v>
      </c>
    </row>
    <row r="30" spans="1:10" ht="12.75">
      <c r="A30" s="11">
        <f t="shared" si="5"/>
        <v>17</v>
      </c>
      <c r="B30" s="30">
        <f t="shared" si="6"/>
        <v>103227.95290754431</v>
      </c>
      <c r="C30" s="30">
        <f t="shared" si="0"/>
        <v>9290.515761678987</v>
      </c>
      <c r="D30" s="31">
        <f t="shared" si="1"/>
        <v>112518.46866922331</v>
      </c>
      <c r="E30" s="4"/>
      <c r="F30" s="11">
        <f t="shared" si="7"/>
        <v>17</v>
      </c>
      <c r="G30" s="30">
        <f t="shared" si="8"/>
        <v>65051.08463660795</v>
      </c>
      <c r="H30" s="30">
        <f t="shared" si="2"/>
        <v>5854.597617294715</v>
      </c>
      <c r="I30" s="30">
        <f t="shared" si="3"/>
        <v>878.1896425942072</v>
      </c>
      <c r="J30" s="34">
        <f t="shared" si="4"/>
        <v>70027.49261130845</v>
      </c>
    </row>
    <row r="31" spans="1:10" ht="12.75">
      <c r="A31" s="11">
        <f t="shared" si="5"/>
        <v>18</v>
      </c>
      <c r="B31" s="30">
        <f t="shared" si="6"/>
        <v>112518.46866922331</v>
      </c>
      <c r="C31" s="30">
        <f t="shared" si="0"/>
        <v>10126.662180230098</v>
      </c>
      <c r="D31" s="31">
        <f t="shared" si="1"/>
        <v>122645.1308494534</v>
      </c>
      <c r="E31" s="4"/>
      <c r="F31" s="11">
        <f t="shared" si="7"/>
        <v>18</v>
      </c>
      <c r="G31" s="30">
        <f t="shared" si="8"/>
        <v>70027.49261130845</v>
      </c>
      <c r="H31" s="30">
        <f t="shared" si="2"/>
        <v>6302.4743350177605</v>
      </c>
      <c r="I31" s="30">
        <f t="shared" si="3"/>
        <v>945.371150252664</v>
      </c>
      <c r="J31" s="34">
        <f t="shared" si="4"/>
        <v>75384.59579607354</v>
      </c>
    </row>
    <row r="32" spans="1:10" ht="12.75">
      <c r="A32" s="11">
        <f t="shared" si="5"/>
        <v>19</v>
      </c>
      <c r="B32" s="30">
        <f t="shared" si="6"/>
        <v>122645.1308494534</v>
      </c>
      <c r="C32" s="30">
        <f t="shared" si="0"/>
        <v>11038.061776450806</v>
      </c>
      <c r="D32" s="31">
        <f t="shared" si="1"/>
        <v>133683.19262590422</v>
      </c>
      <c r="E32" s="4"/>
      <c r="F32" s="11">
        <f t="shared" si="7"/>
        <v>19</v>
      </c>
      <c r="G32" s="30">
        <f t="shared" si="8"/>
        <v>75384.59579607354</v>
      </c>
      <c r="H32" s="30">
        <f t="shared" si="2"/>
        <v>6784.613621646618</v>
      </c>
      <c r="I32" s="30">
        <f t="shared" si="3"/>
        <v>1017.6920432469927</v>
      </c>
      <c r="J32" s="34">
        <f t="shared" si="4"/>
        <v>81151.51737447316</v>
      </c>
    </row>
    <row r="33" spans="1:10" ht="12.75">
      <c r="A33" s="11">
        <f t="shared" si="5"/>
        <v>20</v>
      </c>
      <c r="B33" s="30">
        <f t="shared" si="6"/>
        <v>133683.19262590422</v>
      </c>
      <c r="C33" s="30">
        <f t="shared" si="0"/>
        <v>12031.48733633138</v>
      </c>
      <c r="D33" s="31">
        <f t="shared" si="1"/>
        <v>145714.6799622356</v>
      </c>
      <c r="E33" s="4"/>
      <c r="F33" s="11">
        <f t="shared" si="7"/>
        <v>20</v>
      </c>
      <c r="G33" s="30">
        <f t="shared" si="8"/>
        <v>81151.51737447316</v>
      </c>
      <c r="H33" s="30">
        <f t="shared" si="2"/>
        <v>7303.636563702584</v>
      </c>
      <c r="I33" s="30">
        <f t="shared" si="3"/>
        <v>1095.5454845553875</v>
      </c>
      <c r="J33" s="34">
        <f t="shared" si="4"/>
        <v>87359.60845362036</v>
      </c>
    </row>
    <row r="34" spans="1:10" ht="12.75">
      <c r="A34" s="11">
        <f t="shared" si="5"/>
        <v>21</v>
      </c>
      <c r="B34" s="30">
        <f t="shared" si="6"/>
        <v>145714.6799622356</v>
      </c>
      <c r="C34" s="30">
        <f t="shared" si="0"/>
        <v>13114.321196601202</v>
      </c>
      <c r="D34" s="31">
        <f t="shared" si="1"/>
        <v>158829.0011588368</v>
      </c>
      <c r="E34" s="4"/>
      <c r="F34" s="11">
        <f t="shared" si="7"/>
        <v>21</v>
      </c>
      <c r="G34" s="30">
        <f t="shared" si="8"/>
        <v>87359.60845362036</v>
      </c>
      <c r="H34" s="30">
        <f t="shared" si="2"/>
        <v>7862.364760825832</v>
      </c>
      <c r="I34" s="30">
        <f t="shared" si="3"/>
        <v>1179.3547141238746</v>
      </c>
      <c r="J34" s="34">
        <f t="shared" si="4"/>
        <v>94042.6185003223</v>
      </c>
    </row>
    <row r="35" spans="1:10" ht="12.75">
      <c r="A35" s="11">
        <f t="shared" si="5"/>
        <v>22</v>
      </c>
      <c r="B35" s="30">
        <f t="shared" si="6"/>
        <v>158829.0011588368</v>
      </c>
      <c r="C35" s="30">
        <f t="shared" si="0"/>
        <v>14294.61010429531</v>
      </c>
      <c r="D35" s="31">
        <f t="shared" si="1"/>
        <v>173123.6112631321</v>
      </c>
      <c r="E35" s="4"/>
      <c r="F35" s="11">
        <f t="shared" si="7"/>
        <v>22</v>
      </c>
      <c r="G35" s="30">
        <f t="shared" si="8"/>
        <v>94042.6185003223</v>
      </c>
      <c r="H35" s="30">
        <f t="shared" si="2"/>
        <v>8463.835665029008</v>
      </c>
      <c r="I35" s="30">
        <f t="shared" si="3"/>
        <v>1269.5753497543512</v>
      </c>
      <c r="J35" s="34">
        <f t="shared" si="4"/>
        <v>101236.87881559697</v>
      </c>
    </row>
    <row r="36" spans="1:10" ht="12.75">
      <c r="A36" s="11">
        <f t="shared" si="5"/>
        <v>23</v>
      </c>
      <c r="B36" s="30">
        <f t="shared" si="6"/>
        <v>173123.6112631321</v>
      </c>
      <c r="C36" s="30">
        <f t="shared" si="0"/>
        <v>15581.125013681889</v>
      </c>
      <c r="D36" s="31">
        <f t="shared" si="1"/>
        <v>188704.736276814</v>
      </c>
      <c r="E36" s="4"/>
      <c r="F36" s="11">
        <f t="shared" si="7"/>
        <v>23</v>
      </c>
      <c r="G36" s="30">
        <f t="shared" si="8"/>
        <v>101236.87881559697</v>
      </c>
      <c r="H36" s="30">
        <f t="shared" si="2"/>
        <v>9111.319093403727</v>
      </c>
      <c r="I36" s="30">
        <f t="shared" si="3"/>
        <v>1366.697864010559</v>
      </c>
      <c r="J36" s="34">
        <f t="shared" si="4"/>
        <v>108981.50004499013</v>
      </c>
    </row>
    <row r="37" spans="1:10" ht="12.75">
      <c r="A37" s="11">
        <f t="shared" si="5"/>
        <v>24</v>
      </c>
      <c r="B37" s="30">
        <f t="shared" si="6"/>
        <v>188704.736276814</v>
      </c>
      <c r="C37" s="30">
        <f t="shared" si="0"/>
        <v>16983.426264913258</v>
      </c>
      <c r="D37" s="31">
        <f t="shared" si="1"/>
        <v>205688.16254172724</v>
      </c>
      <c r="E37" s="4"/>
      <c r="F37" s="11">
        <f t="shared" si="7"/>
        <v>24</v>
      </c>
      <c r="G37" s="30">
        <f t="shared" si="8"/>
        <v>108981.50004499013</v>
      </c>
      <c r="H37" s="30">
        <f t="shared" si="2"/>
        <v>9808.335004049111</v>
      </c>
      <c r="I37" s="30">
        <f t="shared" si="3"/>
        <v>1471.2502506073668</v>
      </c>
      <c r="J37" s="34">
        <f t="shared" si="4"/>
        <v>117318.58479843187</v>
      </c>
    </row>
    <row r="38" spans="1:10" ht="12.75">
      <c r="A38" s="11">
        <f t="shared" si="5"/>
        <v>25</v>
      </c>
      <c r="B38" s="30">
        <f t="shared" si="6"/>
        <v>205688.16254172724</v>
      </c>
      <c r="C38" s="30">
        <f t="shared" si="0"/>
        <v>18511.93462875545</v>
      </c>
      <c r="D38" s="31">
        <f t="shared" si="1"/>
        <v>224200.09717048268</v>
      </c>
      <c r="E38" s="4"/>
      <c r="F38" s="11">
        <f t="shared" si="7"/>
        <v>25</v>
      </c>
      <c r="G38" s="30">
        <f t="shared" si="8"/>
        <v>117318.58479843187</v>
      </c>
      <c r="H38" s="30">
        <f t="shared" si="2"/>
        <v>10558.672631858868</v>
      </c>
      <c r="I38" s="30">
        <f t="shared" si="3"/>
        <v>1583.80089477883</v>
      </c>
      <c r="J38" s="34">
        <f t="shared" si="4"/>
        <v>126293.4565355119</v>
      </c>
    </row>
    <row r="39" spans="1:10" ht="12.75">
      <c r="A39" s="11">
        <f t="shared" si="5"/>
        <v>26</v>
      </c>
      <c r="B39" s="30">
        <f t="shared" si="6"/>
        <v>224200.09717048268</v>
      </c>
      <c r="C39" s="30">
        <f t="shared" si="0"/>
        <v>20178.00874534344</v>
      </c>
      <c r="D39" s="31">
        <f t="shared" si="1"/>
        <v>244378.1059158261</v>
      </c>
      <c r="E39" s="4"/>
      <c r="F39" s="11">
        <f t="shared" si="7"/>
        <v>26</v>
      </c>
      <c r="G39" s="30">
        <f t="shared" si="8"/>
        <v>126293.4565355119</v>
      </c>
      <c r="H39" s="30">
        <f t="shared" si="2"/>
        <v>11366.41108819607</v>
      </c>
      <c r="I39" s="30">
        <f t="shared" si="3"/>
        <v>1704.9616632294103</v>
      </c>
      <c r="J39" s="34">
        <f t="shared" si="4"/>
        <v>135954.90596047856</v>
      </c>
    </row>
    <row r="40" spans="1:10" ht="12.75">
      <c r="A40" s="11">
        <f t="shared" si="5"/>
        <v>27</v>
      </c>
      <c r="B40" s="30">
        <f t="shared" si="6"/>
        <v>244378.1059158261</v>
      </c>
      <c r="C40" s="30">
        <f t="shared" si="0"/>
        <v>21994.02953242435</v>
      </c>
      <c r="D40" s="31">
        <f t="shared" si="1"/>
        <v>266372.13544825045</v>
      </c>
      <c r="E40" s="4"/>
      <c r="F40" s="11">
        <f t="shared" si="7"/>
        <v>27</v>
      </c>
      <c r="G40" s="30">
        <f t="shared" si="8"/>
        <v>135954.90596047856</v>
      </c>
      <c r="H40" s="30">
        <f t="shared" si="2"/>
        <v>12235.94153644307</v>
      </c>
      <c r="I40" s="30">
        <f t="shared" si="3"/>
        <v>1835.3912304664605</v>
      </c>
      <c r="J40" s="34">
        <f t="shared" si="4"/>
        <v>146355.45626645518</v>
      </c>
    </row>
    <row r="41" spans="1:10" ht="12.75">
      <c r="A41" s="11">
        <f t="shared" si="5"/>
        <v>28</v>
      </c>
      <c r="B41" s="30">
        <f t="shared" si="6"/>
        <v>266372.13544825045</v>
      </c>
      <c r="C41" s="30">
        <f t="shared" si="0"/>
        <v>23973.49219034254</v>
      </c>
      <c r="D41" s="31">
        <f t="shared" si="1"/>
        <v>290345.62763859297</v>
      </c>
      <c r="E41" s="4"/>
      <c r="F41" s="11">
        <f t="shared" si="7"/>
        <v>28</v>
      </c>
      <c r="G41" s="30">
        <f t="shared" si="8"/>
        <v>146355.45626645518</v>
      </c>
      <c r="H41" s="30">
        <f t="shared" si="2"/>
        <v>13171.991063980966</v>
      </c>
      <c r="I41" s="30">
        <f t="shared" si="3"/>
        <v>1975.7986595971447</v>
      </c>
      <c r="J41" s="34">
        <f t="shared" si="4"/>
        <v>157551.648670839</v>
      </c>
    </row>
    <row r="42" spans="1:10" ht="12.75">
      <c r="A42" s="11">
        <f t="shared" si="5"/>
        <v>29</v>
      </c>
      <c r="B42" s="30">
        <f t="shared" si="6"/>
        <v>290345.62763859297</v>
      </c>
      <c r="C42" s="30">
        <f t="shared" si="0"/>
        <v>26131.106487473367</v>
      </c>
      <c r="D42" s="31">
        <f t="shared" si="1"/>
        <v>316476.7341260663</v>
      </c>
      <c r="E42" s="4"/>
      <c r="F42" s="11">
        <f t="shared" si="7"/>
        <v>29</v>
      </c>
      <c r="G42" s="30">
        <f t="shared" si="8"/>
        <v>157551.648670839</v>
      </c>
      <c r="H42" s="30">
        <f t="shared" si="2"/>
        <v>14179.648380375509</v>
      </c>
      <c r="I42" s="30">
        <f t="shared" si="3"/>
        <v>2126.947257056326</v>
      </c>
      <c r="J42" s="34">
        <f t="shared" si="4"/>
        <v>169604.34979415816</v>
      </c>
    </row>
    <row r="43" spans="1:10" ht="13.5" thickBot="1">
      <c r="A43" s="13">
        <f t="shared" si="5"/>
        <v>30</v>
      </c>
      <c r="B43" s="35">
        <f t="shared" si="6"/>
        <v>316476.7341260663</v>
      </c>
      <c r="C43" s="35">
        <f t="shared" si="0"/>
        <v>28482.90607134597</v>
      </c>
      <c r="D43" s="18">
        <f t="shared" si="1"/>
        <v>344959.6401974123</v>
      </c>
      <c r="E43" s="4"/>
      <c r="F43" s="13">
        <f t="shared" si="7"/>
        <v>30</v>
      </c>
      <c r="G43" s="35">
        <f t="shared" si="8"/>
        <v>169604.34979415816</v>
      </c>
      <c r="H43" s="35">
        <f t="shared" si="2"/>
        <v>15264.391481474233</v>
      </c>
      <c r="I43" s="35">
        <f t="shared" si="3"/>
        <v>2289.6587222211347</v>
      </c>
      <c r="J43" s="36">
        <f t="shared" si="4"/>
        <v>182579.08255341128</v>
      </c>
    </row>
    <row r="44" spans="1:10" ht="13.5" thickBo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1" ht="12.75">
      <c r="A45" s="4"/>
      <c r="B45" s="25" t="s">
        <v>9</v>
      </c>
      <c r="C45" s="37">
        <f>SUM(C14:C43)</f>
        <v>318959.6401974123</v>
      </c>
      <c r="D45" s="4"/>
      <c r="E45" s="4"/>
      <c r="F45" s="4"/>
      <c r="G45" s="25" t="s">
        <v>9</v>
      </c>
      <c r="H45" s="37">
        <f>SUM(H14:H43)</f>
        <v>191269.50888636624</v>
      </c>
      <c r="I45" s="4"/>
      <c r="J45" s="255" t="s">
        <v>13</v>
      </c>
      <c r="K45" s="256"/>
    </row>
    <row r="46" spans="1:11" ht="13.5" thickBot="1">
      <c r="A46" s="4"/>
      <c r="B46" s="4"/>
      <c r="C46" s="4"/>
      <c r="D46" s="4"/>
      <c r="E46" s="4"/>
      <c r="F46" s="181"/>
      <c r="G46" s="179" t="s">
        <v>29</v>
      </c>
      <c r="H46" s="180">
        <f>SUM(I14:I43)</f>
        <v>28690.42633295493</v>
      </c>
      <c r="I46" s="4"/>
      <c r="J46" s="244" t="s">
        <v>172</v>
      </c>
      <c r="K46" s="245"/>
    </row>
    <row r="47" spans="1:11" ht="13.5" thickBot="1">
      <c r="A47" s="4"/>
      <c r="B47" s="4"/>
      <c r="C47" s="4"/>
      <c r="D47" s="4"/>
      <c r="E47" s="4"/>
      <c r="F47" s="4"/>
      <c r="G47" s="39" t="s">
        <v>30</v>
      </c>
      <c r="H47" s="40">
        <f>H45-H46</f>
        <v>162579.0825534113</v>
      </c>
      <c r="I47" s="4"/>
      <c r="J47" s="244" t="s">
        <v>31</v>
      </c>
      <c r="K47" s="245"/>
    </row>
    <row r="48" spans="1:11" ht="13.5" thickTop="1">
      <c r="A48" s="168"/>
      <c r="B48" s="169" t="s">
        <v>11</v>
      </c>
      <c r="C48" s="170">
        <f>D43</f>
        <v>344959.6401974123</v>
      </c>
      <c r="D48" s="4"/>
      <c r="E48" s="4"/>
      <c r="F48" s="4"/>
      <c r="G48" s="4"/>
      <c r="H48" s="4"/>
      <c r="I48" s="4"/>
      <c r="J48" s="244" t="s">
        <v>32</v>
      </c>
      <c r="K48" s="245"/>
    </row>
    <row r="49" spans="1:11" ht="12.75">
      <c r="A49" s="4"/>
      <c r="B49" s="25" t="s">
        <v>25</v>
      </c>
      <c r="C49" s="41">
        <f>net_tax_saving</f>
        <v>0</v>
      </c>
      <c r="D49" s="4"/>
      <c r="E49" s="4"/>
      <c r="F49" s="4"/>
      <c r="G49" s="4"/>
      <c r="H49" s="4"/>
      <c r="I49" s="4"/>
      <c r="J49" s="244" t="s">
        <v>33</v>
      </c>
      <c r="K49" s="245"/>
    </row>
    <row r="50" spans="1:11" ht="12.75">
      <c r="A50" s="4"/>
      <c r="B50" s="25" t="s">
        <v>34</v>
      </c>
      <c r="C50" s="41">
        <f>principle+additional_investment</f>
        <v>26000</v>
      </c>
      <c r="D50" s="4"/>
      <c r="E50" s="4"/>
      <c r="F50" s="168"/>
      <c r="G50" s="171" t="s">
        <v>11</v>
      </c>
      <c r="H50" s="172">
        <f>J43</f>
        <v>182579.08255341128</v>
      </c>
      <c r="I50" s="4"/>
      <c r="J50" s="244" t="s">
        <v>35</v>
      </c>
      <c r="K50" s="245"/>
    </row>
    <row r="51" spans="1:11" ht="13.5" thickBot="1">
      <c r="A51" s="178"/>
      <c r="B51" s="179" t="s">
        <v>36</v>
      </c>
      <c r="C51" s="180">
        <f>D43*income_tax_rate</f>
        <v>103487.89205922368</v>
      </c>
      <c r="D51" s="4"/>
      <c r="E51" s="4"/>
      <c r="F51" s="4"/>
      <c r="G51" s="38" t="s">
        <v>34</v>
      </c>
      <c r="H51" s="35">
        <f>principle</f>
        <v>20000</v>
      </c>
      <c r="I51" s="4"/>
      <c r="J51" s="244" t="s">
        <v>37</v>
      </c>
      <c r="K51" s="245"/>
    </row>
    <row r="52" spans="1:11" ht="13.5" thickBot="1">
      <c r="A52" s="173"/>
      <c r="B52" s="174" t="s">
        <v>30</v>
      </c>
      <c r="C52" s="175">
        <f>D43+net_tax_saving-C51-principle-additional_investment</f>
        <v>215471.74813818862</v>
      </c>
      <c r="D52" s="4"/>
      <c r="E52" s="4"/>
      <c r="F52" s="173"/>
      <c r="G52" s="176" t="s">
        <v>30</v>
      </c>
      <c r="H52" s="177">
        <f>H50-principle</f>
        <v>162579.08255341128</v>
      </c>
      <c r="I52" s="4"/>
      <c r="J52" s="234" t="s">
        <v>38</v>
      </c>
      <c r="K52" s="235"/>
    </row>
    <row r="53" ht="13.5" thickTop="1"/>
    <row r="54" spans="1:8" ht="12.75">
      <c r="A54" s="221" t="s">
        <v>39</v>
      </c>
      <c r="B54" s="221"/>
      <c r="C54" s="167">
        <f>(C48/B14)^(1/A43)-1</f>
        <v>0.09000000000000008</v>
      </c>
      <c r="E54" s="250" t="s">
        <v>39</v>
      </c>
      <c r="F54" s="250"/>
      <c r="G54" s="250"/>
      <c r="H54" s="167">
        <f>(H50/G14)^(1/F43)-1</f>
        <v>0.07650000000000001</v>
      </c>
    </row>
  </sheetData>
  <mergeCells count="13">
    <mergeCell ref="A1:K1"/>
    <mergeCell ref="A12:D12"/>
    <mergeCell ref="F12:J12"/>
    <mergeCell ref="J45:K45"/>
    <mergeCell ref="J46:K46"/>
    <mergeCell ref="J47:K47"/>
    <mergeCell ref="J48:K48"/>
    <mergeCell ref="J49:K49"/>
    <mergeCell ref="J50:K50"/>
    <mergeCell ref="J51:K51"/>
    <mergeCell ref="J52:K52"/>
    <mergeCell ref="A54:B54"/>
    <mergeCell ref="E54:G54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Formulas="1" workbookViewId="0" topLeftCell="C2">
      <selection activeCell="K45" sqref="K45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20.28125" style="0" customWidth="1"/>
    <col min="4" max="4" width="15.7109375" style="0" bestFit="1" customWidth="1"/>
    <col min="5" max="5" width="3.140625" style="0" customWidth="1"/>
    <col min="6" max="6" width="3.28125" style="0" customWidth="1"/>
    <col min="7" max="7" width="9.57421875" style="0" customWidth="1"/>
    <col min="8" max="8" width="7.8515625" style="0" customWidth="1"/>
    <col min="9" max="9" width="13.57421875" style="0" customWidth="1"/>
    <col min="10" max="10" width="10.7109375" style="0" customWidth="1"/>
    <col min="11" max="11" width="1.421875" style="0" customWidth="1"/>
  </cols>
  <sheetData>
    <row r="1" spans="1:11" ht="26.25">
      <c r="A1" s="251" t="s">
        <v>18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0" ht="13.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2.75">
      <c r="A3" s="147"/>
      <c r="B3" s="148"/>
      <c r="C3" s="149" t="s">
        <v>0</v>
      </c>
      <c r="D3" s="150">
        <v>20000</v>
      </c>
      <c r="E3" s="4"/>
      <c r="F3" s="258" t="s">
        <v>19</v>
      </c>
      <c r="G3" s="258"/>
      <c r="H3" s="9"/>
      <c r="I3" s="9"/>
      <c r="J3" s="9"/>
      <c r="K3" s="10"/>
      <c r="L3" s="10"/>
    </row>
    <row r="4" spans="1:10" ht="12.75">
      <c r="A4" s="151"/>
      <c r="B4" s="152"/>
      <c r="C4" s="153" t="s">
        <v>1</v>
      </c>
      <c r="D4" s="154">
        <v>0.09</v>
      </c>
      <c r="E4" s="4"/>
      <c r="F4" s="259" t="s">
        <v>20</v>
      </c>
      <c r="G4" s="259"/>
      <c r="H4" s="259"/>
      <c r="I4" s="259"/>
      <c r="J4" s="4"/>
    </row>
    <row r="5" spans="1:10" ht="12.75">
      <c r="A5" s="155"/>
      <c r="B5" s="156"/>
      <c r="C5" s="157" t="s">
        <v>21</v>
      </c>
      <c r="D5" s="158">
        <v>0.5</v>
      </c>
      <c r="E5" s="4"/>
      <c r="F5" s="4"/>
      <c r="G5" s="4"/>
      <c r="H5" s="4"/>
      <c r="I5" s="4"/>
      <c r="J5" s="4"/>
    </row>
    <row r="6" spans="1:10" ht="13.5" thickBot="1">
      <c r="A6" s="159"/>
      <c r="B6" s="160"/>
      <c r="C6" s="161" t="s">
        <v>22</v>
      </c>
      <c r="D6" s="162">
        <v>0.3</v>
      </c>
      <c r="E6" s="4"/>
      <c r="F6" s="4"/>
      <c r="G6" s="4"/>
      <c r="H6" s="4"/>
      <c r="I6" s="4"/>
      <c r="J6" s="4"/>
    </row>
    <row r="7" spans="1:10" ht="13.5" thickBot="1">
      <c r="A7" s="4"/>
      <c r="B7" s="12"/>
      <c r="C7" s="15"/>
      <c r="D7" s="16"/>
      <c r="E7" s="4"/>
      <c r="F7" s="4"/>
      <c r="G7" s="4"/>
      <c r="H7" s="4"/>
      <c r="I7" s="4"/>
      <c r="J7" s="4"/>
    </row>
    <row r="8" spans="1:10" ht="12.75">
      <c r="A8" s="144"/>
      <c r="B8" s="145"/>
      <c r="C8" s="7" t="s">
        <v>23</v>
      </c>
      <c r="D8" s="146">
        <f>principle*income_tax_rate</f>
        <v>6000</v>
      </c>
      <c r="E8" s="4"/>
      <c r="F8" s="5"/>
      <c r="G8" s="260" t="s">
        <v>23</v>
      </c>
      <c r="H8" s="260"/>
      <c r="I8" s="17">
        <f>principle*0%</f>
        <v>0</v>
      </c>
      <c r="J8" s="4"/>
    </row>
    <row r="9" spans="1:10" ht="13.5" thickBot="1">
      <c r="A9" s="163"/>
      <c r="B9" s="164"/>
      <c r="C9" s="165" t="s">
        <v>24</v>
      </c>
      <c r="D9" s="166">
        <v>6000</v>
      </c>
      <c r="E9" s="4"/>
      <c r="F9" s="13"/>
      <c r="G9" s="14"/>
      <c r="H9" s="14"/>
      <c r="I9" s="19"/>
      <c r="J9" s="4"/>
    </row>
    <row r="10" spans="1:10" ht="13.5" thickBot="1">
      <c r="A10" s="20"/>
      <c r="B10" s="21"/>
      <c r="C10" s="22" t="s">
        <v>25</v>
      </c>
      <c r="D10" s="23">
        <f>income_tax_saving-additional_investment</f>
        <v>0</v>
      </c>
      <c r="E10" s="4"/>
      <c r="F10" s="261" t="s">
        <v>26</v>
      </c>
      <c r="G10" s="261"/>
      <c r="H10" s="261"/>
      <c r="I10" s="261"/>
      <c r="J10" s="4"/>
    </row>
    <row r="11" spans="1:10" ht="13.5" thickBot="1">
      <c r="A11" s="4"/>
      <c r="B11" s="4"/>
      <c r="C11" s="25"/>
      <c r="D11" s="4"/>
      <c r="E11" s="4"/>
      <c r="F11" s="4"/>
      <c r="G11" s="4"/>
      <c r="H11" s="4"/>
      <c r="I11" s="4"/>
      <c r="J11" s="4"/>
    </row>
    <row r="12" spans="1:10" ht="18.75" thickBot="1">
      <c r="A12" s="252" t="s">
        <v>27</v>
      </c>
      <c r="B12" s="253"/>
      <c r="C12" s="253"/>
      <c r="D12" s="254"/>
      <c r="E12" s="9"/>
      <c r="F12" s="252" t="s">
        <v>28</v>
      </c>
      <c r="G12" s="253"/>
      <c r="H12" s="253"/>
      <c r="I12" s="253"/>
      <c r="J12" s="254"/>
    </row>
    <row r="13" spans="1:10" ht="13.5" thickBot="1">
      <c r="A13" s="26" t="s">
        <v>4</v>
      </c>
      <c r="B13" s="27" t="s">
        <v>5</v>
      </c>
      <c r="C13" s="27" t="s">
        <v>6</v>
      </c>
      <c r="D13" s="28" t="s">
        <v>8</v>
      </c>
      <c r="E13" s="29"/>
      <c r="F13" s="26" t="s">
        <v>4</v>
      </c>
      <c r="G13" s="27" t="s">
        <v>5</v>
      </c>
      <c r="H13" s="27" t="s">
        <v>6</v>
      </c>
      <c r="I13" s="27" t="s">
        <v>19</v>
      </c>
      <c r="J13" s="28" t="s">
        <v>8</v>
      </c>
    </row>
    <row r="14" spans="1:10" ht="12.75">
      <c r="A14" s="11">
        <v>1</v>
      </c>
      <c r="B14" s="30">
        <f>principle+additional_investment</f>
        <v>26000</v>
      </c>
      <c r="C14" s="30">
        <f>B14*interest_rate</f>
        <v>2340</v>
      </c>
      <c r="D14" s="31">
        <f>B14+C14</f>
        <v>28340</v>
      </c>
      <c r="E14" s="4"/>
      <c r="F14" s="5">
        <v>1</v>
      </c>
      <c r="G14" s="32">
        <f>principle</f>
        <v>20000</v>
      </c>
      <c r="H14" s="32">
        <f>G14*interest_rate</f>
        <v>1800</v>
      </c>
      <c r="I14" s="32">
        <f>H14*capital_gain_tax_portion*income_tax_rate</f>
        <v>270</v>
      </c>
      <c r="J14" s="33">
        <f>G14+H14-I14</f>
        <v>21530</v>
      </c>
    </row>
    <row r="15" spans="1:10" ht="12.75">
      <c r="A15" s="11">
        <f>A14+1</f>
        <v>2</v>
      </c>
      <c r="B15" s="30">
        <f>D14</f>
        <v>28340</v>
      </c>
      <c r="C15" s="30">
        <f aca="true" t="shared" si="0" ref="C15:C43">B15*interest_rate</f>
        <v>2550.6</v>
      </c>
      <c r="D15" s="31">
        <f aca="true" t="shared" si="1" ref="D15:D43">B15+C15</f>
        <v>30890.6</v>
      </c>
      <c r="E15" s="4"/>
      <c r="F15" s="11">
        <f>F14+1</f>
        <v>2</v>
      </c>
      <c r="G15" s="30">
        <f>J14</f>
        <v>21530</v>
      </c>
      <c r="H15" s="30">
        <f aca="true" t="shared" si="2" ref="H15:H43">G15*interest_rate</f>
        <v>1937.6999999999998</v>
      </c>
      <c r="I15" s="30">
        <f aca="true" t="shared" si="3" ref="I15:I43">H15*capital_gain_tax_portion*income_tax_rate</f>
        <v>290.655</v>
      </c>
      <c r="J15" s="34">
        <f aca="true" t="shared" si="4" ref="J15:J43">G15+H15-I15</f>
        <v>23177.045000000002</v>
      </c>
    </row>
    <row r="16" spans="1:10" ht="12.75">
      <c r="A16" s="11">
        <f aca="true" t="shared" si="5" ref="A16:A43">A15+1</f>
        <v>3</v>
      </c>
      <c r="B16" s="30">
        <f aca="true" t="shared" si="6" ref="B16:B43">D15</f>
        <v>30890.6</v>
      </c>
      <c r="C16" s="30">
        <f t="shared" si="0"/>
        <v>2780.1539999999995</v>
      </c>
      <c r="D16" s="31">
        <f t="shared" si="1"/>
        <v>33670.754</v>
      </c>
      <c r="E16" s="4"/>
      <c r="F16" s="11">
        <f aca="true" t="shared" si="7" ref="F16:F43">F15+1</f>
        <v>3</v>
      </c>
      <c r="G16" s="30">
        <f aca="true" t="shared" si="8" ref="G16:G43">J15</f>
        <v>23177.045000000002</v>
      </c>
      <c r="H16" s="30">
        <f t="shared" si="2"/>
        <v>2085.9340500000003</v>
      </c>
      <c r="I16" s="30">
        <f t="shared" si="3"/>
        <v>312.89010750000006</v>
      </c>
      <c r="J16" s="34">
        <f t="shared" si="4"/>
        <v>24950.088942500002</v>
      </c>
    </row>
    <row r="17" spans="1:10" ht="12.75">
      <c r="A17" s="11">
        <f t="shared" si="5"/>
        <v>4</v>
      </c>
      <c r="B17" s="30">
        <f t="shared" si="6"/>
        <v>33670.754</v>
      </c>
      <c r="C17" s="30">
        <f t="shared" si="0"/>
        <v>3030.36786</v>
      </c>
      <c r="D17" s="31">
        <f t="shared" si="1"/>
        <v>36701.12186</v>
      </c>
      <c r="E17" s="4"/>
      <c r="F17" s="11">
        <f t="shared" si="7"/>
        <v>4</v>
      </c>
      <c r="G17" s="30">
        <f t="shared" si="8"/>
        <v>24950.088942500002</v>
      </c>
      <c r="H17" s="30">
        <f t="shared" si="2"/>
        <v>2245.508004825</v>
      </c>
      <c r="I17" s="30">
        <f t="shared" si="3"/>
        <v>336.82620072375</v>
      </c>
      <c r="J17" s="34">
        <f t="shared" si="4"/>
        <v>26858.77074660125</v>
      </c>
    </row>
    <row r="18" spans="1:10" ht="12.75">
      <c r="A18" s="11">
        <f t="shared" si="5"/>
        <v>5</v>
      </c>
      <c r="B18" s="30">
        <f t="shared" si="6"/>
        <v>36701.12186</v>
      </c>
      <c r="C18" s="30">
        <f t="shared" si="0"/>
        <v>3303.1009673999997</v>
      </c>
      <c r="D18" s="31">
        <f t="shared" si="1"/>
        <v>40004.2228274</v>
      </c>
      <c r="E18" s="4"/>
      <c r="F18" s="11">
        <f t="shared" si="7"/>
        <v>5</v>
      </c>
      <c r="G18" s="30">
        <f t="shared" si="8"/>
        <v>26858.77074660125</v>
      </c>
      <c r="H18" s="30">
        <f t="shared" si="2"/>
        <v>2417.2893671941124</v>
      </c>
      <c r="I18" s="30">
        <f t="shared" si="3"/>
        <v>362.59340507911685</v>
      </c>
      <c r="J18" s="34">
        <f t="shared" si="4"/>
        <v>28913.466708716245</v>
      </c>
    </row>
    <row r="19" spans="1:10" ht="12.75">
      <c r="A19" s="11">
        <f t="shared" si="5"/>
        <v>6</v>
      </c>
      <c r="B19" s="30">
        <f t="shared" si="6"/>
        <v>40004.2228274</v>
      </c>
      <c r="C19" s="30">
        <f t="shared" si="0"/>
        <v>3600.380054466</v>
      </c>
      <c r="D19" s="31">
        <f t="shared" si="1"/>
        <v>43604.602881866</v>
      </c>
      <c r="E19" s="4"/>
      <c r="F19" s="11">
        <f t="shared" si="7"/>
        <v>6</v>
      </c>
      <c r="G19" s="30">
        <f t="shared" si="8"/>
        <v>28913.466708716245</v>
      </c>
      <c r="H19" s="30">
        <f t="shared" si="2"/>
        <v>2602.212003784462</v>
      </c>
      <c r="I19" s="30">
        <f t="shared" si="3"/>
        <v>390.3318005676693</v>
      </c>
      <c r="J19" s="34">
        <f t="shared" si="4"/>
        <v>31125.346911933037</v>
      </c>
    </row>
    <row r="20" spans="1:10" ht="12.75">
      <c r="A20" s="11">
        <f t="shared" si="5"/>
        <v>7</v>
      </c>
      <c r="B20" s="30">
        <f t="shared" si="6"/>
        <v>43604.602881866</v>
      </c>
      <c r="C20" s="30">
        <f t="shared" si="0"/>
        <v>3924.41425936794</v>
      </c>
      <c r="D20" s="31">
        <f t="shared" si="1"/>
        <v>47529.01714123394</v>
      </c>
      <c r="E20" s="4"/>
      <c r="F20" s="11">
        <f t="shared" si="7"/>
        <v>7</v>
      </c>
      <c r="G20" s="30">
        <f t="shared" si="8"/>
        <v>31125.346911933037</v>
      </c>
      <c r="H20" s="30">
        <f t="shared" si="2"/>
        <v>2801.2812220739734</v>
      </c>
      <c r="I20" s="30">
        <f t="shared" si="3"/>
        <v>420.192183311096</v>
      </c>
      <c r="J20" s="34">
        <f t="shared" si="4"/>
        <v>33506.435950695915</v>
      </c>
    </row>
    <row r="21" spans="1:10" ht="12.75">
      <c r="A21" s="11">
        <f t="shared" si="5"/>
        <v>8</v>
      </c>
      <c r="B21" s="30">
        <f t="shared" si="6"/>
        <v>47529.01714123394</v>
      </c>
      <c r="C21" s="30">
        <f t="shared" si="0"/>
        <v>4277.611542711054</v>
      </c>
      <c r="D21" s="31">
        <f t="shared" si="1"/>
        <v>51806.628683945</v>
      </c>
      <c r="E21" s="4"/>
      <c r="F21" s="11">
        <f t="shared" si="7"/>
        <v>8</v>
      </c>
      <c r="G21" s="30">
        <f t="shared" si="8"/>
        <v>33506.435950695915</v>
      </c>
      <c r="H21" s="30">
        <f t="shared" si="2"/>
        <v>3015.579235562632</v>
      </c>
      <c r="I21" s="30">
        <f t="shared" si="3"/>
        <v>452.3368853343948</v>
      </c>
      <c r="J21" s="34">
        <f t="shared" si="4"/>
        <v>36069.678300924155</v>
      </c>
    </row>
    <row r="22" spans="1:10" ht="12.75">
      <c r="A22" s="11">
        <f t="shared" si="5"/>
        <v>9</v>
      </c>
      <c r="B22" s="30">
        <f t="shared" si="6"/>
        <v>51806.628683945</v>
      </c>
      <c r="C22" s="30">
        <f t="shared" si="0"/>
        <v>4662.59658155505</v>
      </c>
      <c r="D22" s="31">
        <f t="shared" si="1"/>
        <v>56469.22526550005</v>
      </c>
      <c r="E22" s="4"/>
      <c r="F22" s="11">
        <f t="shared" si="7"/>
        <v>9</v>
      </c>
      <c r="G22" s="30">
        <f t="shared" si="8"/>
        <v>36069.678300924155</v>
      </c>
      <c r="H22" s="30">
        <f t="shared" si="2"/>
        <v>3246.271047083174</v>
      </c>
      <c r="I22" s="30">
        <f t="shared" si="3"/>
        <v>486.9406570624761</v>
      </c>
      <c r="J22" s="34">
        <f t="shared" si="4"/>
        <v>38829.00869094485</v>
      </c>
    </row>
    <row r="23" spans="1:10" ht="12.75">
      <c r="A23" s="11">
        <f t="shared" si="5"/>
        <v>10</v>
      </c>
      <c r="B23" s="30">
        <f t="shared" si="6"/>
        <v>56469.22526550005</v>
      </c>
      <c r="C23" s="30">
        <f t="shared" si="0"/>
        <v>5082.230273895004</v>
      </c>
      <c r="D23" s="31">
        <f t="shared" si="1"/>
        <v>61551.45553939505</v>
      </c>
      <c r="E23" s="4"/>
      <c r="F23" s="11">
        <f t="shared" si="7"/>
        <v>10</v>
      </c>
      <c r="G23" s="30">
        <f t="shared" si="8"/>
        <v>38829.00869094485</v>
      </c>
      <c r="H23" s="30">
        <f t="shared" si="2"/>
        <v>3494.6107821850364</v>
      </c>
      <c r="I23" s="30">
        <f t="shared" si="3"/>
        <v>524.1916173277555</v>
      </c>
      <c r="J23" s="34">
        <f t="shared" si="4"/>
        <v>41799.42785580213</v>
      </c>
    </row>
    <row r="24" spans="1:10" ht="12.75">
      <c r="A24" s="11">
        <f t="shared" si="5"/>
        <v>11</v>
      </c>
      <c r="B24" s="30">
        <f t="shared" si="6"/>
        <v>61551.45553939505</v>
      </c>
      <c r="C24" s="30">
        <f t="shared" si="0"/>
        <v>5539.630998545555</v>
      </c>
      <c r="D24" s="31">
        <f t="shared" si="1"/>
        <v>67091.0865379406</v>
      </c>
      <c r="E24" s="4"/>
      <c r="F24" s="11">
        <f t="shared" si="7"/>
        <v>11</v>
      </c>
      <c r="G24" s="30">
        <f t="shared" si="8"/>
        <v>41799.42785580213</v>
      </c>
      <c r="H24" s="30">
        <f t="shared" si="2"/>
        <v>3761.9485070221917</v>
      </c>
      <c r="I24" s="30">
        <f t="shared" si="3"/>
        <v>564.2922760533287</v>
      </c>
      <c r="J24" s="34">
        <f t="shared" si="4"/>
        <v>44997.084086771</v>
      </c>
    </row>
    <row r="25" spans="1:10" ht="12.75">
      <c r="A25" s="11">
        <f t="shared" si="5"/>
        <v>12</v>
      </c>
      <c r="B25" s="30">
        <f t="shared" si="6"/>
        <v>67091.0865379406</v>
      </c>
      <c r="C25" s="30">
        <f t="shared" si="0"/>
        <v>6038.197788414654</v>
      </c>
      <c r="D25" s="31">
        <f t="shared" si="1"/>
        <v>73129.28432635525</v>
      </c>
      <c r="E25" s="4"/>
      <c r="F25" s="11">
        <f t="shared" si="7"/>
        <v>12</v>
      </c>
      <c r="G25" s="30">
        <f t="shared" si="8"/>
        <v>44997.084086771</v>
      </c>
      <c r="H25" s="30">
        <f t="shared" si="2"/>
        <v>4049.73756780939</v>
      </c>
      <c r="I25" s="30">
        <f t="shared" si="3"/>
        <v>607.4606351714085</v>
      </c>
      <c r="J25" s="34">
        <f t="shared" si="4"/>
        <v>48439.36101940898</v>
      </c>
    </row>
    <row r="26" spans="1:10" ht="12.75">
      <c r="A26" s="11">
        <f t="shared" si="5"/>
        <v>13</v>
      </c>
      <c r="B26" s="30">
        <f t="shared" si="6"/>
        <v>73129.28432635525</v>
      </c>
      <c r="C26" s="30">
        <f t="shared" si="0"/>
        <v>6581.635589371972</v>
      </c>
      <c r="D26" s="31">
        <f t="shared" si="1"/>
        <v>79710.91991572722</v>
      </c>
      <c r="E26" s="4"/>
      <c r="F26" s="11">
        <f t="shared" si="7"/>
        <v>13</v>
      </c>
      <c r="G26" s="30">
        <f t="shared" si="8"/>
        <v>48439.36101940898</v>
      </c>
      <c r="H26" s="30">
        <f t="shared" si="2"/>
        <v>4359.542491746808</v>
      </c>
      <c r="I26" s="30">
        <f t="shared" si="3"/>
        <v>653.9313737620212</v>
      </c>
      <c r="J26" s="34">
        <f t="shared" si="4"/>
        <v>52144.97213739377</v>
      </c>
    </row>
    <row r="27" spans="1:10" ht="12.75">
      <c r="A27" s="11">
        <f t="shared" si="5"/>
        <v>14</v>
      </c>
      <c r="B27" s="30">
        <f t="shared" si="6"/>
        <v>79710.91991572722</v>
      </c>
      <c r="C27" s="30">
        <f t="shared" si="0"/>
        <v>7173.98279241545</v>
      </c>
      <c r="D27" s="31">
        <f t="shared" si="1"/>
        <v>86884.90270814268</v>
      </c>
      <c r="E27" s="4"/>
      <c r="F27" s="11">
        <f t="shared" si="7"/>
        <v>14</v>
      </c>
      <c r="G27" s="30">
        <f t="shared" si="8"/>
        <v>52144.97213739377</v>
      </c>
      <c r="H27" s="30">
        <f t="shared" si="2"/>
        <v>4693.047492365439</v>
      </c>
      <c r="I27" s="30">
        <f t="shared" si="3"/>
        <v>703.9571238548159</v>
      </c>
      <c r="J27" s="34">
        <f t="shared" si="4"/>
        <v>56134.062505904396</v>
      </c>
    </row>
    <row r="28" spans="1:10" ht="12.75">
      <c r="A28" s="11">
        <f t="shared" si="5"/>
        <v>15</v>
      </c>
      <c r="B28" s="30">
        <f t="shared" si="6"/>
        <v>86884.90270814268</v>
      </c>
      <c r="C28" s="30">
        <f t="shared" si="0"/>
        <v>7819.641243732841</v>
      </c>
      <c r="D28" s="31">
        <f t="shared" si="1"/>
        <v>94704.54395187552</v>
      </c>
      <c r="E28" s="4"/>
      <c r="F28" s="11">
        <f t="shared" si="7"/>
        <v>15</v>
      </c>
      <c r="G28" s="30">
        <f t="shared" si="8"/>
        <v>56134.062505904396</v>
      </c>
      <c r="H28" s="30">
        <f t="shared" si="2"/>
        <v>5052.065625531395</v>
      </c>
      <c r="I28" s="30">
        <f t="shared" si="3"/>
        <v>757.8098438297093</v>
      </c>
      <c r="J28" s="34">
        <f t="shared" si="4"/>
        <v>60428.31828760608</v>
      </c>
    </row>
    <row r="29" spans="1:10" ht="12.75">
      <c r="A29" s="11">
        <f t="shared" si="5"/>
        <v>16</v>
      </c>
      <c r="B29" s="30">
        <f t="shared" si="6"/>
        <v>94704.54395187552</v>
      </c>
      <c r="C29" s="30">
        <f t="shared" si="0"/>
        <v>8523.408955668796</v>
      </c>
      <c r="D29" s="31">
        <f t="shared" si="1"/>
        <v>103227.95290754431</v>
      </c>
      <c r="E29" s="4"/>
      <c r="F29" s="11">
        <f t="shared" si="7"/>
        <v>16</v>
      </c>
      <c r="G29" s="30">
        <f t="shared" si="8"/>
        <v>60428.31828760608</v>
      </c>
      <c r="H29" s="30">
        <f t="shared" si="2"/>
        <v>5438.548645884547</v>
      </c>
      <c r="I29" s="30">
        <f t="shared" si="3"/>
        <v>815.7822968826821</v>
      </c>
      <c r="J29" s="34">
        <f t="shared" si="4"/>
        <v>65051.08463660795</v>
      </c>
    </row>
    <row r="30" spans="1:10" ht="12.75">
      <c r="A30" s="11">
        <f t="shared" si="5"/>
        <v>17</v>
      </c>
      <c r="B30" s="30">
        <f t="shared" si="6"/>
        <v>103227.95290754431</v>
      </c>
      <c r="C30" s="30">
        <f t="shared" si="0"/>
        <v>9290.515761678987</v>
      </c>
      <c r="D30" s="31">
        <f t="shared" si="1"/>
        <v>112518.46866922331</v>
      </c>
      <c r="E30" s="4"/>
      <c r="F30" s="11">
        <f t="shared" si="7"/>
        <v>17</v>
      </c>
      <c r="G30" s="30">
        <f t="shared" si="8"/>
        <v>65051.08463660795</v>
      </c>
      <c r="H30" s="30">
        <f t="shared" si="2"/>
        <v>5854.597617294715</v>
      </c>
      <c r="I30" s="30">
        <f t="shared" si="3"/>
        <v>878.1896425942072</v>
      </c>
      <c r="J30" s="34">
        <f t="shared" si="4"/>
        <v>70027.49261130845</v>
      </c>
    </row>
    <row r="31" spans="1:10" ht="12.75">
      <c r="A31" s="11">
        <f t="shared" si="5"/>
        <v>18</v>
      </c>
      <c r="B31" s="30">
        <f t="shared" si="6"/>
        <v>112518.46866922331</v>
      </c>
      <c r="C31" s="30">
        <f t="shared" si="0"/>
        <v>10126.662180230098</v>
      </c>
      <c r="D31" s="31">
        <f t="shared" si="1"/>
        <v>122645.1308494534</v>
      </c>
      <c r="E31" s="4"/>
      <c r="F31" s="11">
        <f t="shared" si="7"/>
        <v>18</v>
      </c>
      <c r="G31" s="30">
        <f t="shared" si="8"/>
        <v>70027.49261130845</v>
      </c>
      <c r="H31" s="30">
        <f t="shared" si="2"/>
        <v>6302.4743350177605</v>
      </c>
      <c r="I31" s="30">
        <f t="shared" si="3"/>
        <v>945.371150252664</v>
      </c>
      <c r="J31" s="34">
        <f t="shared" si="4"/>
        <v>75384.59579607354</v>
      </c>
    </row>
    <row r="32" spans="1:10" ht="12.75">
      <c r="A32" s="11">
        <f t="shared" si="5"/>
        <v>19</v>
      </c>
      <c r="B32" s="30">
        <f t="shared" si="6"/>
        <v>122645.1308494534</v>
      </c>
      <c r="C32" s="30">
        <f t="shared" si="0"/>
        <v>11038.061776450806</v>
      </c>
      <c r="D32" s="31">
        <f t="shared" si="1"/>
        <v>133683.19262590422</v>
      </c>
      <c r="E32" s="4"/>
      <c r="F32" s="11">
        <f t="shared" si="7"/>
        <v>19</v>
      </c>
      <c r="G32" s="30">
        <f t="shared" si="8"/>
        <v>75384.59579607354</v>
      </c>
      <c r="H32" s="30">
        <f t="shared" si="2"/>
        <v>6784.613621646618</v>
      </c>
      <c r="I32" s="30">
        <f t="shared" si="3"/>
        <v>1017.6920432469927</v>
      </c>
      <c r="J32" s="34">
        <f t="shared" si="4"/>
        <v>81151.51737447316</v>
      </c>
    </row>
    <row r="33" spans="1:10" ht="12.75">
      <c r="A33" s="11">
        <f t="shared" si="5"/>
        <v>20</v>
      </c>
      <c r="B33" s="30">
        <f t="shared" si="6"/>
        <v>133683.19262590422</v>
      </c>
      <c r="C33" s="30">
        <f t="shared" si="0"/>
        <v>12031.48733633138</v>
      </c>
      <c r="D33" s="31">
        <f t="shared" si="1"/>
        <v>145714.6799622356</v>
      </c>
      <c r="E33" s="4"/>
      <c r="F33" s="11">
        <f t="shared" si="7"/>
        <v>20</v>
      </c>
      <c r="G33" s="30">
        <f t="shared" si="8"/>
        <v>81151.51737447316</v>
      </c>
      <c r="H33" s="30">
        <f t="shared" si="2"/>
        <v>7303.636563702584</v>
      </c>
      <c r="I33" s="30">
        <f t="shared" si="3"/>
        <v>1095.5454845553875</v>
      </c>
      <c r="J33" s="34">
        <f t="shared" si="4"/>
        <v>87359.60845362036</v>
      </c>
    </row>
    <row r="34" spans="1:10" ht="12.75">
      <c r="A34" s="11">
        <f t="shared" si="5"/>
        <v>21</v>
      </c>
      <c r="B34" s="30">
        <f t="shared" si="6"/>
        <v>145714.6799622356</v>
      </c>
      <c r="C34" s="30">
        <f t="shared" si="0"/>
        <v>13114.321196601202</v>
      </c>
      <c r="D34" s="31">
        <f t="shared" si="1"/>
        <v>158829.0011588368</v>
      </c>
      <c r="E34" s="4"/>
      <c r="F34" s="11">
        <f t="shared" si="7"/>
        <v>21</v>
      </c>
      <c r="G34" s="30">
        <f t="shared" si="8"/>
        <v>87359.60845362036</v>
      </c>
      <c r="H34" s="30">
        <f t="shared" si="2"/>
        <v>7862.364760825832</v>
      </c>
      <c r="I34" s="30">
        <f t="shared" si="3"/>
        <v>1179.3547141238746</v>
      </c>
      <c r="J34" s="34">
        <f t="shared" si="4"/>
        <v>94042.6185003223</v>
      </c>
    </row>
    <row r="35" spans="1:10" ht="12.75">
      <c r="A35" s="11">
        <f t="shared" si="5"/>
        <v>22</v>
      </c>
      <c r="B35" s="30">
        <f t="shared" si="6"/>
        <v>158829.0011588368</v>
      </c>
      <c r="C35" s="30">
        <f t="shared" si="0"/>
        <v>14294.61010429531</v>
      </c>
      <c r="D35" s="31">
        <f t="shared" si="1"/>
        <v>173123.6112631321</v>
      </c>
      <c r="E35" s="4"/>
      <c r="F35" s="11">
        <f t="shared" si="7"/>
        <v>22</v>
      </c>
      <c r="G35" s="30">
        <f t="shared" si="8"/>
        <v>94042.6185003223</v>
      </c>
      <c r="H35" s="30">
        <f t="shared" si="2"/>
        <v>8463.835665029008</v>
      </c>
      <c r="I35" s="30">
        <f t="shared" si="3"/>
        <v>1269.5753497543512</v>
      </c>
      <c r="J35" s="34">
        <f t="shared" si="4"/>
        <v>101236.87881559697</v>
      </c>
    </row>
    <row r="36" spans="1:10" ht="12.75">
      <c r="A36" s="11">
        <f t="shared" si="5"/>
        <v>23</v>
      </c>
      <c r="B36" s="30">
        <f t="shared" si="6"/>
        <v>173123.6112631321</v>
      </c>
      <c r="C36" s="30">
        <f t="shared" si="0"/>
        <v>15581.125013681889</v>
      </c>
      <c r="D36" s="31">
        <f t="shared" si="1"/>
        <v>188704.736276814</v>
      </c>
      <c r="E36" s="4"/>
      <c r="F36" s="11">
        <f t="shared" si="7"/>
        <v>23</v>
      </c>
      <c r="G36" s="30">
        <f t="shared" si="8"/>
        <v>101236.87881559697</v>
      </c>
      <c r="H36" s="30">
        <f t="shared" si="2"/>
        <v>9111.319093403727</v>
      </c>
      <c r="I36" s="30">
        <f t="shared" si="3"/>
        <v>1366.697864010559</v>
      </c>
      <c r="J36" s="34">
        <f t="shared" si="4"/>
        <v>108981.50004499013</v>
      </c>
    </row>
    <row r="37" spans="1:10" ht="12.75">
      <c r="A37" s="11">
        <f t="shared" si="5"/>
        <v>24</v>
      </c>
      <c r="B37" s="30">
        <f t="shared" si="6"/>
        <v>188704.736276814</v>
      </c>
      <c r="C37" s="30">
        <f t="shared" si="0"/>
        <v>16983.426264913258</v>
      </c>
      <c r="D37" s="31">
        <f t="shared" si="1"/>
        <v>205688.16254172724</v>
      </c>
      <c r="E37" s="4"/>
      <c r="F37" s="11">
        <f t="shared" si="7"/>
        <v>24</v>
      </c>
      <c r="G37" s="30">
        <f t="shared" si="8"/>
        <v>108981.50004499013</v>
      </c>
      <c r="H37" s="30">
        <f t="shared" si="2"/>
        <v>9808.335004049111</v>
      </c>
      <c r="I37" s="30">
        <f t="shared" si="3"/>
        <v>1471.2502506073668</v>
      </c>
      <c r="J37" s="34">
        <f t="shared" si="4"/>
        <v>117318.58479843187</v>
      </c>
    </row>
    <row r="38" spans="1:10" ht="12.75">
      <c r="A38" s="11">
        <f t="shared" si="5"/>
        <v>25</v>
      </c>
      <c r="B38" s="30">
        <f t="shared" si="6"/>
        <v>205688.16254172724</v>
      </c>
      <c r="C38" s="30">
        <f t="shared" si="0"/>
        <v>18511.93462875545</v>
      </c>
      <c r="D38" s="31">
        <f t="shared" si="1"/>
        <v>224200.09717048268</v>
      </c>
      <c r="E38" s="4"/>
      <c r="F38" s="11">
        <f t="shared" si="7"/>
        <v>25</v>
      </c>
      <c r="G38" s="30">
        <f t="shared" si="8"/>
        <v>117318.58479843187</v>
      </c>
      <c r="H38" s="30">
        <f t="shared" si="2"/>
        <v>10558.672631858868</v>
      </c>
      <c r="I38" s="30">
        <f t="shared" si="3"/>
        <v>1583.80089477883</v>
      </c>
      <c r="J38" s="34">
        <f t="shared" si="4"/>
        <v>126293.4565355119</v>
      </c>
    </row>
    <row r="39" spans="1:10" ht="12.75">
      <c r="A39" s="11">
        <f t="shared" si="5"/>
        <v>26</v>
      </c>
      <c r="B39" s="30">
        <f t="shared" si="6"/>
        <v>224200.09717048268</v>
      </c>
      <c r="C39" s="30">
        <f t="shared" si="0"/>
        <v>20178.00874534344</v>
      </c>
      <c r="D39" s="31">
        <f t="shared" si="1"/>
        <v>244378.1059158261</v>
      </c>
      <c r="E39" s="4"/>
      <c r="F39" s="11">
        <f t="shared" si="7"/>
        <v>26</v>
      </c>
      <c r="G39" s="30">
        <f t="shared" si="8"/>
        <v>126293.4565355119</v>
      </c>
      <c r="H39" s="30">
        <f t="shared" si="2"/>
        <v>11366.41108819607</v>
      </c>
      <c r="I39" s="30">
        <f t="shared" si="3"/>
        <v>1704.9616632294103</v>
      </c>
      <c r="J39" s="34">
        <f t="shared" si="4"/>
        <v>135954.90596047856</v>
      </c>
    </row>
    <row r="40" spans="1:10" ht="12.75">
      <c r="A40" s="11">
        <f t="shared" si="5"/>
        <v>27</v>
      </c>
      <c r="B40" s="30">
        <f t="shared" si="6"/>
        <v>244378.1059158261</v>
      </c>
      <c r="C40" s="30">
        <f t="shared" si="0"/>
        <v>21994.02953242435</v>
      </c>
      <c r="D40" s="31">
        <f t="shared" si="1"/>
        <v>266372.13544825045</v>
      </c>
      <c r="E40" s="4"/>
      <c r="F40" s="11">
        <f t="shared" si="7"/>
        <v>27</v>
      </c>
      <c r="G40" s="30">
        <f t="shared" si="8"/>
        <v>135954.90596047856</v>
      </c>
      <c r="H40" s="30">
        <f t="shared" si="2"/>
        <v>12235.94153644307</v>
      </c>
      <c r="I40" s="30">
        <f t="shared" si="3"/>
        <v>1835.3912304664605</v>
      </c>
      <c r="J40" s="34">
        <f t="shared" si="4"/>
        <v>146355.45626645518</v>
      </c>
    </row>
    <row r="41" spans="1:10" ht="12.75">
      <c r="A41" s="11">
        <f t="shared" si="5"/>
        <v>28</v>
      </c>
      <c r="B41" s="30">
        <f t="shared" si="6"/>
        <v>266372.13544825045</v>
      </c>
      <c r="C41" s="30">
        <f t="shared" si="0"/>
        <v>23973.49219034254</v>
      </c>
      <c r="D41" s="31">
        <f t="shared" si="1"/>
        <v>290345.62763859297</v>
      </c>
      <c r="E41" s="4"/>
      <c r="F41" s="11">
        <f t="shared" si="7"/>
        <v>28</v>
      </c>
      <c r="G41" s="30">
        <f t="shared" si="8"/>
        <v>146355.45626645518</v>
      </c>
      <c r="H41" s="30">
        <f t="shared" si="2"/>
        <v>13171.991063980966</v>
      </c>
      <c r="I41" s="30">
        <f t="shared" si="3"/>
        <v>1975.7986595971447</v>
      </c>
      <c r="J41" s="34">
        <f t="shared" si="4"/>
        <v>157551.648670839</v>
      </c>
    </row>
    <row r="42" spans="1:10" ht="12.75">
      <c r="A42" s="11">
        <f t="shared" si="5"/>
        <v>29</v>
      </c>
      <c r="B42" s="30">
        <f t="shared" si="6"/>
        <v>290345.62763859297</v>
      </c>
      <c r="C42" s="30">
        <f t="shared" si="0"/>
        <v>26131.106487473367</v>
      </c>
      <c r="D42" s="31">
        <f t="shared" si="1"/>
        <v>316476.7341260663</v>
      </c>
      <c r="E42" s="4"/>
      <c r="F42" s="11">
        <f t="shared" si="7"/>
        <v>29</v>
      </c>
      <c r="G42" s="30">
        <f t="shared" si="8"/>
        <v>157551.648670839</v>
      </c>
      <c r="H42" s="30">
        <f t="shared" si="2"/>
        <v>14179.648380375509</v>
      </c>
      <c r="I42" s="30">
        <f t="shared" si="3"/>
        <v>2126.947257056326</v>
      </c>
      <c r="J42" s="34">
        <f t="shared" si="4"/>
        <v>169604.34979415816</v>
      </c>
    </row>
    <row r="43" spans="1:10" ht="13.5" thickBot="1">
      <c r="A43" s="13">
        <f t="shared" si="5"/>
        <v>30</v>
      </c>
      <c r="B43" s="35">
        <f t="shared" si="6"/>
        <v>316476.7341260663</v>
      </c>
      <c r="C43" s="35">
        <f t="shared" si="0"/>
        <v>28482.90607134597</v>
      </c>
      <c r="D43" s="18">
        <f t="shared" si="1"/>
        <v>344959.6401974123</v>
      </c>
      <c r="E43" s="4"/>
      <c r="F43" s="13">
        <f t="shared" si="7"/>
        <v>30</v>
      </c>
      <c r="G43" s="35">
        <f t="shared" si="8"/>
        <v>169604.34979415816</v>
      </c>
      <c r="H43" s="35">
        <f t="shared" si="2"/>
        <v>15264.391481474233</v>
      </c>
      <c r="I43" s="35">
        <f t="shared" si="3"/>
        <v>2289.6587222211347</v>
      </c>
      <c r="J43" s="36">
        <f t="shared" si="4"/>
        <v>182579.08255341128</v>
      </c>
    </row>
    <row r="44" spans="1:10" ht="13.5" thickBo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25" t="s">
        <v>9</v>
      </c>
      <c r="C45" s="37">
        <f>SUM(C14:C43)</f>
        <v>318959.6401974123</v>
      </c>
      <c r="D45" s="4"/>
      <c r="E45" s="4"/>
      <c r="F45" s="4"/>
      <c r="G45" s="25" t="s">
        <v>9</v>
      </c>
      <c r="H45" s="37">
        <f>SUM(H14:H43)</f>
        <v>191269.50888636624</v>
      </c>
      <c r="J45" s="182" t="s">
        <v>13</v>
      </c>
    </row>
    <row r="46" spans="1:10" ht="13.5" thickBot="1">
      <c r="A46" s="4"/>
      <c r="B46" s="4"/>
      <c r="C46" s="4"/>
      <c r="D46" s="4"/>
      <c r="E46" s="4"/>
      <c r="F46" s="181"/>
      <c r="G46" s="179" t="s">
        <v>29</v>
      </c>
      <c r="H46" s="180">
        <f>SUM(I14:I43)</f>
        <v>28690.42633295493</v>
      </c>
      <c r="J46" s="183" t="s">
        <v>172</v>
      </c>
    </row>
    <row r="47" spans="1:10" ht="13.5" thickBot="1">
      <c r="A47" s="4"/>
      <c r="B47" s="4"/>
      <c r="C47" s="4"/>
      <c r="D47" s="4"/>
      <c r="E47" s="4"/>
      <c r="F47" s="4"/>
      <c r="G47" s="39" t="s">
        <v>30</v>
      </c>
      <c r="H47" s="40">
        <f>H45-H46</f>
        <v>162579.0825534113</v>
      </c>
      <c r="J47" s="183" t="s">
        <v>31</v>
      </c>
    </row>
    <row r="48" spans="1:10" ht="13.5" thickTop="1">
      <c r="A48" s="168"/>
      <c r="B48" s="169" t="s">
        <v>11</v>
      </c>
      <c r="C48" s="170">
        <f>D43</f>
        <v>344959.6401974123</v>
      </c>
      <c r="D48" s="4"/>
      <c r="E48" s="4"/>
      <c r="F48" s="4"/>
      <c r="G48" s="4"/>
      <c r="H48" s="4"/>
      <c r="J48" s="183" t="s">
        <v>32</v>
      </c>
    </row>
    <row r="49" spans="1:10" ht="12.75">
      <c r="A49" s="4"/>
      <c r="B49" s="25" t="s">
        <v>25</v>
      </c>
      <c r="C49" s="41">
        <f>net_tax_saving</f>
        <v>0</v>
      </c>
      <c r="D49" s="4"/>
      <c r="E49" s="4"/>
      <c r="F49" s="4"/>
      <c r="G49" s="4"/>
      <c r="H49" s="4"/>
      <c r="J49" s="183" t="s">
        <v>33</v>
      </c>
    </row>
    <row r="50" spans="1:10" ht="12.75">
      <c r="A50" s="4"/>
      <c r="B50" s="25" t="s">
        <v>34</v>
      </c>
      <c r="C50" s="41">
        <f>principle+additional_investment</f>
        <v>26000</v>
      </c>
      <c r="D50" s="4"/>
      <c r="E50" s="4"/>
      <c r="F50" s="168"/>
      <c r="G50" s="171" t="s">
        <v>11</v>
      </c>
      <c r="H50" s="172">
        <f>J43</f>
        <v>182579.08255341128</v>
      </c>
      <c r="J50" s="183" t="s">
        <v>35</v>
      </c>
    </row>
    <row r="51" spans="1:10" ht="13.5" thickBot="1">
      <c r="A51" s="257" t="s">
        <v>36</v>
      </c>
      <c r="B51" s="257"/>
      <c r="C51" s="180">
        <f>D43*income_tax_rate</f>
        <v>103487.89205922368</v>
      </c>
      <c r="D51" s="4"/>
      <c r="E51" s="4"/>
      <c r="F51" s="4"/>
      <c r="G51" s="38" t="s">
        <v>34</v>
      </c>
      <c r="H51" s="35">
        <f>principle</f>
        <v>20000</v>
      </c>
      <c r="J51" s="183" t="s">
        <v>37</v>
      </c>
    </row>
    <row r="52" spans="1:10" ht="13.5" thickBot="1">
      <c r="A52" s="173"/>
      <c r="B52" s="174" t="s">
        <v>30</v>
      </c>
      <c r="C52" s="175">
        <f>D43+net_tax_saving-C51-principle-additional_investment</f>
        <v>215471.74813818862</v>
      </c>
      <c r="D52" s="4"/>
      <c r="E52" s="4"/>
      <c r="F52" s="173"/>
      <c r="G52" s="176" t="s">
        <v>30</v>
      </c>
      <c r="H52" s="177">
        <f>H50-principle</f>
        <v>162579.08255341128</v>
      </c>
      <c r="J52" s="184" t="s">
        <v>38</v>
      </c>
    </row>
    <row r="53" ht="13.5" thickTop="1"/>
    <row r="54" spans="1:8" ht="12.75">
      <c r="A54" s="221" t="s">
        <v>39</v>
      </c>
      <c r="B54" s="221"/>
      <c r="C54" s="167">
        <f>(C48/B14)^(1/A43)-1</f>
        <v>0.09000000000000008</v>
      </c>
      <c r="E54" s="250" t="s">
        <v>39</v>
      </c>
      <c r="F54" s="250"/>
      <c r="G54" s="250"/>
      <c r="H54" s="167">
        <f>(H50/G14)^(1/F43)-1</f>
        <v>0.07650000000000001</v>
      </c>
    </row>
  </sheetData>
  <mergeCells count="10">
    <mergeCell ref="A1:K1"/>
    <mergeCell ref="F4:I4"/>
    <mergeCell ref="A12:D12"/>
    <mergeCell ref="F12:J12"/>
    <mergeCell ref="G8:H8"/>
    <mergeCell ref="F10:I10"/>
    <mergeCell ref="A51:B51"/>
    <mergeCell ref="A54:B54"/>
    <mergeCell ref="E54:G54"/>
    <mergeCell ref="F3:G3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D4">
      <selection activeCell="F34" sqref="F34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11.421875" style="0" customWidth="1"/>
    <col min="4" max="4" width="16.421875" style="0" customWidth="1"/>
    <col min="5" max="5" width="12.28125" style="0" bestFit="1" customWidth="1"/>
    <col min="6" max="6" width="4.140625" style="0" customWidth="1"/>
    <col min="7" max="7" width="11.00390625" style="0" customWidth="1"/>
    <col min="8" max="8" width="10.8515625" style="0" customWidth="1"/>
    <col min="9" max="9" width="16.57421875" style="0" customWidth="1"/>
    <col min="10" max="10" width="12.421875" style="0" customWidth="1"/>
    <col min="11" max="11" width="3.7109375" style="0" customWidth="1"/>
  </cols>
  <sheetData>
    <row r="1" spans="1:10" ht="41.25">
      <c r="A1" s="268" t="s">
        <v>40</v>
      </c>
      <c r="B1" s="268"/>
      <c r="C1" s="268"/>
      <c r="D1" s="268"/>
      <c r="E1" s="268"/>
      <c r="F1" s="268"/>
      <c r="G1" s="268"/>
      <c r="H1" s="268"/>
      <c r="I1" s="268"/>
      <c r="J1" s="268"/>
    </row>
    <row r="2" ht="13.5" thickBot="1"/>
    <row r="3" spans="2:10" ht="24" thickBot="1">
      <c r="B3" s="269" t="s">
        <v>41</v>
      </c>
      <c r="C3" s="270"/>
      <c r="D3" s="270"/>
      <c r="E3" s="271"/>
      <c r="G3" s="269" t="s">
        <v>42</v>
      </c>
      <c r="H3" s="270"/>
      <c r="I3" s="270"/>
      <c r="J3" s="271"/>
    </row>
    <row r="4" spans="2:10" ht="12.75">
      <c r="B4" s="92"/>
      <c r="C4" s="93"/>
      <c r="D4" s="90" t="s">
        <v>43</v>
      </c>
      <c r="E4" s="94">
        <v>20000</v>
      </c>
      <c r="G4" s="46"/>
      <c r="H4" s="47"/>
      <c r="I4" s="48" t="s">
        <v>44</v>
      </c>
      <c r="J4" s="45">
        <f>purchase_price</f>
        <v>23425</v>
      </c>
    </row>
    <row r="5" spans="2:10" ht="12.75">
      <c r="B5" s="46"/>
      <c r="C5" s="47"/>
      <c r="D5" s="49" t="s">
        <v>45</v>
      </c>
      <c r="E5" s="45">
        <f>E4*0.07</f>
        <v>1400.0000000000002</v>
      </c>
      <c r="G5" s="98"/>
      <c r="H5" s="99"/>
      <c r="I5" s="100" t="s">
        <v>46</v>
      </c>
      <c r="J5" s="105">
        <v>0</v>
      </c>
    </row>
    <row r="6" spans="2:10" ht="13.5" thickBot="1">
      <c r="B6" s="46"/>
      <c r="C6" s="47"/>
      <c r="D6" s="49"/>
      <c r="E6" s="45"/>
      <c r="G6" s="46"/>
      <c r="H6" s="47"/>
      <c r="I6" s="50"/>
      <c r="J6" s="50"/>
    </row>
    <row r="7" spans="2:10" ht="13.5" thickBot="1">
      <c r="B7" s="118"/>
      <c r="C7" s="119"/>
      <c r="D7" s="91" t="s">
        <v>47</v>
      </c>
      <c r="E7" s="120">
        <v>850</v>
      </c>
      <c r="G7" s="51"/>
      <c r="H7" s="52"/>
      <c r="I7" s="53" t="s">
        <v>48</v>
      </c>
      <c r="J7" s="54">
        <f>purchase_price-down_payment</f>
        <v>23425</v>
      </c>
    </row>
    <row r="8" spans="2:10" ht="12.75">
      <c r="B8" s="118"/>
      <c r="C8" s="119"/>
      <c r="D8" s="91" t="s">
        <v>49</v>
      </c>
      <c r="E8" s="120">
        <v>100</v>
      </c>
      <c r="G8" s="46"/>
      <c r="H8" s="47"/>
      <c r="I8" s="50"/>
      <c r="J8" s="50"/>
    </row>
    <row r="9" spans="2:10" ht="12.75">
      <c r="B9" s="118"/>
      <c r="C9" s="119"/>
      <c r="D9" s="91" t="s">
        <v>50</v>
      </c>
      <c r="E9" s="120">
        <v>125</v>
      </c>
      <c r="G9" s="101"/>
      <c r="H9" s="102"/>
      <c r="I9" s="103" t="s">
        <v>51</v>
      </c>
      <c r="J9" s="104">
        <v>48</v>
      </c>
    </row>
    <row r="10" spans="2:10" ht="12.75">
      <c r="B10" s="118"/>
      <c r="C10" s="119"/>
      <c r="D10" s="91" t="s">
        <v>52</v>
      </c>
      <c r="E10" s="120">
        <v>950</v>
      </c>
      <c r="G10" s="106"/>
      <c r="H10" s="107"/>
      <c r="I10" s="108" t="s">
        <v>53</v>
      </c>
      <c r="J10" s="109">
        <v>0.04</v>
      </c>
    </row>
    <row r="11" spans="2:10" ht="13.5" thickBot="1">
      <c r="B11" s="95"/>
      <c r="C11" s="96"/>
      <c r="D11" s="48"/>
      <c r="E11" s="97"/>
      <c r="G11" s="46"/>
      <c r="H11" s="47"/>
      <c r="I11" s="50"/>
      <c r="J11" s="50"/>
    </row>
    <row r="12" spans="2:10" ht="13.5" thickBot="1">
      <c r="B12" s="51"/>
      <c r="C12" s="52"/>
      <c r="D12" s="53" t="s">
        <v>44</v>
      </c>
      <c r="E12" s="56">
        <f>SUM(E4:E10)</f>
        <v>23425</v>
      </c>
      <c r="G12" s="51"/>
      <c r="H12" s="52"/>
      <c r="I12" s="53" t="s">
        <v>54</v>
      </c>
      <c r="J12" s="57">
        <f>PMT(finance_rate/12,finance_months,-finance_amount,0,0)</f>
        <v>528.9143549815744</v>
      </c>
    </row>
    <row r="14" ht="13.5" thickBot="1"/>
    <row r="15" spans="2:10" ht="24" thickBot="1">
      <c r="B15" s="269" t="s">
        <v>55</v>
      </c>
      <c r="C15" s="270"/>
      <c r="D15" s="270"/>
      <c r="E15" s="271"/>
      <c r="G15" s="269" t="s">
        <v>56</v>
      </c>
      <c r="H15" s="270"/>
      <c r="I15" s="270"/>
      <c r="J15" s="271"/>
    </row>
    <row r="16" spans="2:10" ht="13.5" thickBot="1">
      <c r="B16" s="46"/>
      <c r="C16" s="47"/>
      <c r="D16" s="58" t="s">
        <v>43</v>
      </c>
      <c r="E16" s="59">
        <f>MSRP</f>
        <v>20000</v>
      </c>
      <c r="G16" s="265" t="s">
        <v>57</v>
      </c>
      <c r="H16" s="266"/>
      <c r="I16" s="266"/>
      <c r="J16" s="267"/>
    </row>
    <row r="17" spans="2:10" ht="12.75">
      <c r="B17" s="46"/>
      <c r="C17" s="47"/>
      <c r="D17" s="58" t="s">
        <v>47</v>
      </c>
      <c r="E17" s="60">
        <f>Shipping</f>
        <v>850</v>
      </c>
      <c r="G17" s="46"/>
      <c r="H17" s="47"/>
      <c r="I17" s="49" t="s">
        <v>58</v>
      </c>
      <c r="J17" s="45">
        <f>finance_months*finance_payment+down_payment</f>
        <v>25387.889039115573</v>
      </c>
    </row>
    <row r="18" spans="2:10" ht="12.75">
      <c r="B18" s="46"/>
      <c r="C18" s="47"/>
      <c r="D18" s="58" t="s">
        <v>49</v>
      </c>
      <c r="E18" s="60">
        <f>Fee</f>
        <v>100</v>
      </c>
      <c r="G18" s="46"/>
      <c r="H18" s="47"/>
      <c r="I18" s="49" t="s">
        <v>59</v>
      </c>
      <c r="J18" s="61">
        <f>purchase_price</f>
        <v>23425</v>
      </c>
    </row>
    <row r="19" spans="2:10" ht="13.5" thickBot="1">
      <c r="B19" s="46"/>
      <c r="C19" s="47"/>
      <c r="D19" s="58" t="s">
        <v>50</v>
      </c>
      <c r="E19" s="60">
        <f>Tire_AC_Tax</f>
        <v>125</v>
      </c>
      <c r="G19" s="46"/>
      <c r="H19" s="47"/>
      <c r="I19" s="50"/>
      <c r="J19" s="50"/>
    </row>
    <row r="20" spans="2:10" ht="13.5" thickBot="1">
      <c r="B20" s="46"/>
      <c r="C20" s="47"/>
      <c r="D20" s="58" t="s">
        <v>52</v>
      </c>
      <c r="E20" s="60">
        <f>Accessories</f>
        <v>950</v>
      </c>
      <c r="G20" s="51"/>
      <c r="H20" s="52"/>
      <c r="I20" s="53" t="s">
        <v>60</v>
      </c>
      <c r="J20" s="62">
        <f>finance_cost-purchase_cost</f>
        <v>1962.8890391155728</v>
      </c>
    </row>
    <row r="21" spans="2:10" ht="13.5" thickBot="1">
      <c r="B21" s="46"/>
      <c r="C21" s="47"/>
      <c r="D21" s="47"/>
      <c r="E21" s="63"/>
      <c r="G21" s="46"/>
      <c r="H21" s="47"/>
      <c r="I21" s="50"/>
      <c r="J21" s="50"/>
    </row>
    <row r="22" spans="2:10" ht="12.75">
      <c r="B22" s="42"/>
      <c r="C22" s="43"/>
      <c r="D22" s="64" t="s">
        <v>61</v>
      </c>
      <c r="E22" s="65">
        <f>SUM(E16:E20)</f>
        <v>22025</v>
      </c>
      <c r="G22" s="46"/>
      <c r="H22" s="47"/>
      <c r="I22" s="49" t="s">
        <v>62</v>
      </c>
      <c r="J22" s="66">
        <f>J20/finance_months*12</f>
        <v>490.7222597788932</v>
      </c>
    </row>
    <row r="23" spans="2:10" ht="12.75">
      <c r="B23" s="46"/>
      <c r="C23" s="47"/>
      <c r="D23" s="58" t="s">
        <v>63</v>
      </c>
      <c r="E23" s="60">
        <f>down_payment/1.07</f>
        <v>0</v>
      </c>
      <c r="G23" s="46"/>
      <c r="H23" s="47"/>
      <c r="I23" s="48" t="s">
        <v>64</v>
      </c>
      <c r="J23" s="67">
        <f>(finance_cost/purchase_cost)^(1/(finance_months/12))-1</f>
        <v>0.020320818390654027</v>
      </c>
    </row>
    <row r="24" spans="2:10" ht="13.5" thickBot="1">
      <c r="B24" s="46"/>
      <c r="C24" s="47"/>
      <c r="D24" s="58"/>
      <c r="E24" s="60"/>
      <c r="G24" s="68"/>
      <c r="H24" s="69"/>
      <c r="I24" s="70"/>
      <c r="J24" s="70"/>
    </row>
    <row r="25" spans="2:10" ht="13.5" thickBot="1">
      <c r="B25" s="42"/>
      <c r="C25" s="43"/>
      <c r="D25" s="64" t="s">
        <v>65</v>
      </c>
      <c r="E25" s="71">
        <f>E22-E23</f>
        <v>22025</v>
      </c>
      <c r="G25" s="265" t="s">
        <v>66</v>
      </c>
      <c r="H25" s="266"/>
      <c r="I25" s="266"/>
      <c r="J25" s="267"/>
    </row>
    <row r="26" spans="2:10" ht="13.5" thickTop="1">
      <c r="B26" s="42"/>
      <c r="C26" s="43"/>
      <c r="D26" s="44"/>
      <c r="E26" s="60"/>
      <c r="G26" s="124"/>
      <c r="H26" s="125"/>
      <c r="I26" s="123" t="s">
        <v>67</v>
      </c>
      <c r="J26" s="126">
        <v>350</v>
      </c>
    </row>
    <row r="27" spans="2:10" ht="12.75">
      <c r="B27" s="101"/>
      <c r="C27" s="102"/>
      <c r="D27" s="110" t="s">
        <v>51</v>
      </c>
      <c r="E27" s="111">
        <v>48</v>
      </c>
      <c r="G27" s="46"/>
      <c r="H27" s="47"/>
      <c r="I27" s="49" t="s">
        <v>68</v>
      </c>
      <c r="J27" s="45">
        <f>lease_months*lease_payment+residual+E23</f>
        <v>26400</v>
      </c>
    </row>
    <row r="28" spans="2:10" ht="12.75">
      <c r="B28" s="46"/>
      <c r="C28" s="47"/>
      <c r="D28" s="58"/>
      <c r="E28" s="63"/>
      <c r="G28" s="46"/>
      <c r="H28" s="47"/>
      <c r="I28" s="49" t="s">
        <v>69</v>
      </c>
      <c r="J28" s="61">
        <f>leasing_cost*1.07</f>
        <v>28248</v>
      </c>
    </row>
    <row r="29" spans="2:10" ht="13.5" thickBot="1">
      <c r="B29" s="112"/>
      <c r="C29" s="113"/>
      <c r="D29" s="114" t="s">
        <v>70</v>
      </c>
      <c r="E29" s="115">
        <v>0.48</v>
      </c>
      <c r="G29" s="46"/>
      <c r="H29" s="47"/>
      <c r="I29" s="49" t="s">
        <v>59</v>
      </c>
      <c r="J29" s="61">
        <f>purchase_price</f>
        <v>23425</v>
      </c>
    </row>
    <row r="30" spans="2:10" ht="13.5" thickBot="1">
      <c r="B30" s="51"/>
      <c r="C30" s="52"/>
      <c r="D30" s="53" t="s">
        <v>71</v>
      </c>
      <c r="E30" s="71">
        <f>MSRP*residual_rate</f>
        <v>9600</v>
      </c>
      <c r="G30" s="46"/>
      <c r="H30" s="47"/>
      <c r="I30" s="50"/>
      <c r="J30" s="50"/>
    </row>
    <row r="31" spans="2:10" ht="13.5" thickBot="1">
      <c r="B31" s="46"/>
      <c r="C31" s="47"/>
      <c r="D31" s="47"/>
      <c r="E31" s="50"/>
      <c r="G31" s="51"/>
      <c r="H31" s="52"/>
      <c r="I31" s="53" t="s">
        <v>72</v>
      </c>
      <c r="J31" s="71">
        <f>final_lease_cost-purchase_cost</f>
        <v>4823</v>
      </c>
    </row>
    <row r="32" spans="2:10" ht="14.25" customHeight="1" thickBot="1">
      <c r="B32" s="265" t="s">
        <v>73</v>
      </c>
      <c r="C32" s="266"/>
      <c r="D32" s="265" t="s">
        <v>74</v>
      </c>
      <c r="E32" s="267"/>
      <c r="G32" s="46"/>
      <c r="H32" s="47"/>
      <c r="I32" s="50"/>
      <c r="J32" s="50"/>
    </row>
    <row r="33" spans="2:10" ht="28.5" customHeight="1" thickBot="1">
      <c r="B33" s="121" t="s">
        <v>75</v>
      </c>
      <c r="C33" s="122">
        <v>350</v>
      </c>
      <c r="D33" s="116" t="s">
        <v>76</v>
      </c>
      <c r="E33" s="127">
        <v>0.06889</v>
      </c>
      <c r="G33" s="46"/>
      <c r="H33" s="47"/>
      <c r="I33" s="49" t="s">
        <v>62</v>
      </c>
      <c r="J33" s="66">
        <f>lease_interest/finance_months*12</f>
        <v>1205.75</v>
      </c>
    </row>
    <row r="34" spans="2:10" ht="26.25" thickBot="1">
      <c r="B34" s="72" t="s">
        <v>77</v>
      </c>
      <c r="C34" s="128">
        <f>RATE(lease_months,-C33,lease_amount,-residual,1)*12</f>
        <v>0.0688934544442929</v>
      </c>
      <c r="D34" s="72" t="s">
        <v>78</v>
      </c>
      <c r="E34" s="74">
        <f>PMT(E33/12,lease_months,-lease_amount,residual,1)</f>
        <v>349.99537500854603</v>
      </c>
      <c r="G34" s="46"/>
      <c r="H34" s="47"/>
      <c r="I34" s="48" t="s">
        <v>64</v>
      </c>
      <c r="J34" s="67">
        <f>(final_lease_cost/purchase_cost)^(1/(lease_months/12))-1</f>
        <v>0.04791733882955196</v>
      </c>
    </row>
    <row r="35" spans="2:10" ht="27.75" customHeight="1" thickBot="1">
      <c r="B35" s="75" t="s">
        <v>79</v>
      </c>
      <c r="C35" s="76">
        <f>C33*1.07</f>
        <v>374.5</v>
      </c>
      <c r="D35" s="75" t="s">
        <v>79</v>
      </c>
      <c r="E35" s="77">
        <f>E34*1.07</f>
        <v>374.4950512591443</v>
      </c>
      <c r="G35" s="68"/>
      <c r="H35" s="69"/>
      <c r="I35" s="70"/>
      <c r="J35" s="70"/>
    </row>
    <row r="36" spans="7:10" ht="13.5" thickBot="1">
      <c r="G36" s="265" t="s">
        <v>80</v>
      </c>
      <c r="H36" s="266"/>
      <c r="I36" s="266"/>
      <c r="J36" s="267"/>
    </row>
    <row r="37" spans="2:10" ht="15.75">
      <c r="B37" s="78" t="s">
        <v>13</v>
      </c>
      <c r="C37" s="43"/>
      <c r="D37" s="43"/>
      <c r="E37" s="79"/>
      <c r="G37" s="42"/>
      <c r="H37" s="43"/>
      <c r="I37" s="44" t="s">
        <v>70</v>
      </c>
      <c r="J37" s="55">
        <f>residual_rate</f>
        <v>0.48</v>
      </c>
    </row>
    <row r="38" spans="2:10" ht="12.75">
      <c r="B38" s="46"/>
      <c r="C38" s="47"/>
      <c r="D38" s="47"/>
      <c r="E38" s="50"/>
      <c r="G38" s="46"/>
      <c r="H38" s="47"/>
      <c r="I38" s="49" t="s">
        <v>81</v>
      </c>
      <c r="J38" s="50">
        <f>lease_months</f>
        <v>48</v>
      </c>
    </row>
    <row r="39" spans="2:10" ht="12.75">
      <c r="B39" s="264" t="s">
        <v>82</v>
      </c>
      <c r="C39" s="262"/>
      <c r="D39" s="262" t="s">
        <v>83</v>
      </c>
      <c r="E39" s="263"/>
      <c r="G39" s="46"/>
      <c r="H39" s="47"/>
      <c r="I39" s="48" t="s">
        <v>84</v>
      </c>
      <c r="J39" s="67">
        <f>(100%-residual_rate)/lease_months*12</f>
        <v>0.13</v>
      </c>
    </row>
    <row r="40" spans="2:10" ht="12.75">
      <c r="B40" s="264" t="s">
        <v>85</v>
      </c>
      <c r="C40" s="262"/>
      <c r="D40" s="262" t="s">
        <v>86</v>
      </c>
      <c r="E40" s="263"/>
      <c r="G40" s="46"/>
      <c r="H40" s="47"/>
      <c r="I40" s="50"/>
      <c r="J40" s="50"/>
    </row>
    <row r="41" spans="2:10" ht="12.75">
      <c r="B41" s="264" t="s">
        <v>87</v>
      </c>
      <c r="C41" s="262"/>
      <c r="D41" s="262" t="s">
        <v>88</v>
      </c>
      <c r="E41" s="263"/>
      <c r="G41" s="46"/>
      <c r="H41" s="47"/>
      <c r="I41" s="48" t="s">
        <v>89</v>
      </c>
      <c r="J41" s="80">
        <v>4</v>
      </c>
    </row>
    <row r="42" spans="2:10" ht="13.5" thickBot="1">
      <c r="B42" s="264" t="s">
        <v>90</v>
      </c>
      <c r="C42" s="262"/>
      <c r="D42" s="262" t="s">
        <v>91</v>
      </c>
      <c r="E42" s="263"/>
      <c r="G42" s="68"/>
      <c r="H42" s="69"/>
      <c r="I42" s="81" t="s">
        <v>92</v>
      </c>
      <c r="J42" s="82">
        <f>MSRP*(100%-J41*avg_annual_depreciate_rate)</f>
        <v>9600</v>
      </c>
    </row>
    <row r="43" spans="2:5" ht="12.75">
      <c r="B43" s="264" t="s">
        <v>93</v>
      </c>
      <c r="C43" s="262"/>
      <c r="D43" s="262" t="s">
        <v>94</v>
      </c>
      <c r="E43" s="263"/>
    </row>
    <row r="44" spans="2:5" ht="12.75">
      <c r="B44" s="264" t="s">
        <v>95</v>
      </c>
      <c r="C44" s="262"/>
      <c r="D44" s="262" t="s">
        <v>96</v>
      </c>
      <c r="E44" s="263"/>
    </row>
    <row r="45" spans="2:5" ht="12.75">
      <c r="B45" s="264" t="s">
        <v>97</v>
      </c>
      <c r="C45" s="262"/>
      <c r="D45" s="262" t="s">
        <v>98</v>
      </c>
      <c r="E45" s="263"/>
    </row>
    <row r="46" spans="2:5" ht="12.75">
      <c r="B46" s="264" t="s">
        <v>99</v>
      </c>
      <c r="C46" s="262"/>
      <c r="D46" s="262" t="s">
        <v>100</v>
      </c>
      <c r="E46" s="263"/>
    </row>
    <row r="47" spans="2:5" ht="12.75">
      <c r="B47" s="264" t="s">
        <v>101</v>
      </c>
      <c r="C47" s="262"/>
      <c r="D47" s="262" t="s">
        <v>102</v>
      </c>
      <c r="E47" s="263"/>
    </row>
    <row r="48" spans="2:5" ht="12.75">
      <c r="B48" s="264" t="s">
        <v>103</v>
      </c>
      <c r="C48" s="262"/>
      <c r="D48" s="262" t="s">
        <v>104</v>
      </c>
      <c r="E48" s="263"/>
    </row>
    <row r="49" spans="2:5" ht="12.75">
      <c r="B49" s="264" t="s">
        <v>105</v>
      </c>
      <c r="C49" s="262"/>
      <c r="D49" s="262" t="s">
        <v>106</v>
      </c>
      <c r="E49" s="263"/>
    </row>
    <row r="50" spans="2:5" ht="12.75">
      <c r="B50" s="264" t="s">
        <v>107</v>
      </c>
      <c r="C50" s="262"/>
      <c r="D50" s="262" t="s">
        <v>108</v>
      </c>
      <c r="E50" s="263"/>
    </row>
    <row r="51" spans="2:5" ht="12.75">
      <c r="B51" s="46" t="s">
        <v>109</v>
      </c>
      <c r="C51" s="47"/>
      <c r="D51" s="262" t="s">
        <v>110</v>
      </c>
      <c r="E51" s="263"/>
    </row>
    <row r="52" spans="2:5" ht="13.5" thickBot="1">
      <c r="B52" s="68"/>
      <c r="C52" s="69"/>
      <c r="D52" s="69"/>
      <c r="E52" s="70"/>
    </row>
  </sheetData>
  <mergeCells count="35">
    <mergeCell ref="A1:J1"/>
    <mergeCell ref="B3:E3"/>
    <mergeCell ref="G3:J3"/>
    <mergeCell ref="B15:E15"/>
    <mergeCell ref="G15:J15"/>
    <mergeCell ref="G16:J16"/>
    <mergeCell ref="G25:J25"/>
    <mergeCell ref="B32:C32"/>
    <mergeCell ref="D32:E32"/>
    <mergeCell ref="G36:J36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D51:E51"/>
    <mergeCell ref="B49:C49"/>
    <mergeCell ref="D49:E49"/>
    <mergeCell ref="B50:C50"/>
    <mergeCell ref="D50:E50"/>
  </mergeCells>
  <printOptions gridLines="1" headings="1" horizontalCentered="1" verticalCentered="1"/>
  <pageMargins left="1" right="1" top="1" bottom="1" header="0.5" footer="0.5"/>
  <pageSetup fitToHeight="1" fitToWidth="1" horizontalDpi="300" verticalDpi="3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Formulas="1" workbookViewId="0" topLeftCell="A1">
      <selection activeCell="A1" sqref="A1:J1"/>
    </sheetView>
  </sheetViews>
  <sheetFormatPr defaultColWidth="9.140625" defaultRowHeight="12.75"/>
  <cols>
    <col min="1" max="1" width="1.57421875" style="0" customWidth="1"/>
    <col min="2" max="2" width="7.57421875" style="0" customWidth="1"/>
    <col min="3" max="3" width="25.57421875" style="0" customWidth="1"/>
    <col min="4" max="4" width="7.57421875" style="0" customWidth="1"/>
    <col min="5" max="5" width="24.7109375" style="0" customWidth="1"/>
    <col min="6" max="6" width="1.57421875" style="0" customWidth="1"/>
    <col min="7" max="7" width="1.1484375" style="0" customWidth="1"/>
    <col min="8" max="8" width="1.28515625" style="0" customWidth="1"/>
    <col min="9" max="9" width="16.57421875" style="0" customWidth="1"/>
    <col min="10" max="10" width="27.421875" style="0" customWidth="1"/>
    <col min="11" max="11" width="3.7109375" style="0" customWidth="1"/>
  </cols>
  <sheetData>
    <row r="1" spans="1:10" ht="41.25">
      <c r="A1" s="268" t="s">
        <v>40</v>
      </c>
      <c r="B1" s="268"/>
      <c r="C1" s="268"/>
      <c r="D1" s="268"/>
      <c r="E1" s="268"/>
      <c r="F1" s="268"/>
      <c r="G1" s="268"/>
      <c r="H1" s="268"/>
      <c r="I1" s="268"/>
      <c r="J1" s="268"/>
    </row>
    <row r="2" ht="13.5" thickBot="1"/>
    <row r="3" spans="2:10" ht="24" thickBot="1">
      <c r="B3" s="269" t="s">
        <v>41</v>
      </c>
      <c r="C3" s="270"/>
      <c r="D3" s="270"/>
      <c r="E3" s="271"/>
      <c r="G3" s="269" t="s">
        <v>42</v>
      </c>
      <c r="H3" s="270"/>
      <c r="I3" s="270"/>
      <c r="J3" s="271"/>
    </row>
    <row r="4" spans="2:10" ht="12.75">
      <c r="B4" s="92"/>
      <c r="C4" s="291" t="s">
        <v>43</v>
      </c>
      <c r="D4" s="292"/>
      <c r="E4" s="94">
        <v>20000</v>
      </c>
      <c r="G4" s="46"/>
      <c r="H4" s="47"/>
      <c r="I4" s="48" t="s">
        <v>44</v>
      </c>
      <c r="J4" s="45">
        <f>purchase_price</f>
        <v>23425</v>
      </c>
    </row>
    <row r="5" spans="2:10" ht="12.75">
      <c r="B5" s="46"/>
      <c r="C5" s="47"/>
      <c r="D5" s="49" t="s">
        <v>45</v>
      </c>
      <c r="E5" s="45">
        <f>E4*0.07</f>
        <v>1400.0000000000002</v>
      </c>
      <c r="G5" s="98"/>
      <c r="H5" s="99"/>
      <c r="I5" s="100" t="s">
        <v>46</v>
      </c>
      <c r="J5" s="105">
        <v>0</v>
      </c>
    </row>
    <row r="6" spans="2:10" ht="13.5" thickBot="1">
      <c r="B6" s="46"/>
      <c r="C6" s="47"/>
      <c r="D6" s="49"/>
      <c r="E6" s="45"/>
      <c r="G6" s="46"/>
      <c r="H6" s="47"/>
      <c r="I6" s="50"/>
      <c r="J6" s="50"/>
    </row>
    <row r="7" spans="2:10" ht="13.5" thickBot="1">
      <c r="B7" s="118"/>
      <c r="C7" s="272" t="s">
        <v>47</v>
      </c>
      <c r="D7" s="273"/>
      <c r="E7" s="120">
        <v>850</v>
      </c>
      <c r="G7" s="51"/>
      <c r="H7" s="52"/>
      <c r="I7" s="53" t="s">
        <v>48</v>
      </c>
      <c r="J7" s="54">
        <f>purchase_price-down_payment</f>
        <v>23425</v>
      </c>
    </row>
    <row r="8" spans="2:10" ht="12.75">
      <c r="B8" s="118"/>
      <c r="C8" s="272" t="s">
        <v>49</v>
      </c>
      <c r="D8" s="273"/>
      <c r="E8" s="120">
        <v>100</v>
      </c>
      <c r="G8" s="46"/>
      <c r="H8" s="47"/>
      <c r="I8" s="50"/>
      <c r="J8" s="50"/>
    </row>
    <row r="9" spans="2:10" ht="12.75">
      <c r="B9" s="118"/>
      <c r="C9" s="272" t="s">
        <v>50</v>
      </c>
      <c r="D9" s="273"/>
      <c r="E9" s="120">
        <v>125</v>
      </c>
      <c r="G9" s="101"/>
      <c r="H9" s="102"/>
      <c r="I9" s="103" t="s">
        <v>51</v>
      </c>
      <c r="J9" s="104">
        <v>48</v>
      </c>
    </row>
    <row r="10" spans="2:10" ht="12.75">
      <c r="B10" s="118"/>
      <c r="C10" s="272" t="s">
        <v>52</v>
      </c>
      <c r="D10" s="273"/>
      <c r="E10" s="120">
        <v>950</v>
      </c>
      <c r="G10" s="106"/>
      <c r="H10" s="107"/>
      <c r="I10" s="108" t="s">
        <v>53</v>
      </c>
      <c r="J10" s="109">
        <v>0.04</v>
      </c>
    </row>
    <row r="11" spans="2:10" ht="13.5" thickBot="1">
      <c r="B11" s="95"/>
      <c r="C11" s="96"/>
      <c r="D11" s="48"/>
      <c r="E11" s="97"/>
      <c r="G11" s="46"/>
      <c r="H11" s="47"/>
      <c r="I11" s="50"/>
      <c r="J11" s="50"/>
    </row>
    <row r="12" spans="2:10" ht="13.5" thickBot="1">
      <c r="B12" s="51"/>
      <c r="C12" s="283" t="s">
        <v>44</v>
      </c>
      <c r="D12" s="284"/>
      <c r="E12" s="56">
        <f>SUM(E4:E10)</f>
        <v>23425</v>
      </c>
      <c r="G12" s="51"/>
      <c r="H12" s="52"/>
      <c r="I12" s="53" t="s">
        <v>54</v>
      </c>
      <c r="J12" s="57">
        <f>PMT(finance_rate/12,finance_months,-finance_amount,0,0)</f>
        <v>528.9143549815744</v>
      </c>
    </row>
    <row r="14" ht="13.5" thickBot="1"/>
    <row r="15" spans="2:10" ht="24" thickBot="1">
      <c r="B15" s="269" t="s">
        <v>55</v>
      </c>
      <c r="C15" s="270"/>
      <c r="D15" s="270"/>
      <c r="E15" s="271"/>
      <c r="G15" s="269" t="s">
        <v>56</v>
      </c>
      <c r="H15" s="270"/>
      <c r="I15" s="270"/>
      <c r="J15" s="271"/>
    </row>
    <row r="16" spans="2:10" ht="13.5" thickBot="1">
      <c r="B16" s="46"/>
      <c r="C16" s="289" t="s">
        <v>43</v>
      </c>
      <c r="D16" s="290"/>
      <c r="E16" s="59">
        <f>MSRP</f>
        <v>20000</v>
      </c>
      <c r="G16" s="265" t="s">
        <v>57</v>
      </c>
      <c r="H16" s="266"/>
      <c r="I16" s="266"/>
      <c r="J16" s="267"/>
    </row>
    <row r="17" spans="2:10" ht="12.75">
      <c r="B17" s="46"/>
      <c r="C17" s="285" t="s">
        <v>47</v>
      </c>
      <c r="D17" s="286"/>
      <c r="E17" s="60">
        <f>Shipping</f>
        <v>850</v>
      </c>
      <c r="G17" s="46"/>
      <c r="H17" s="47"/>
      <c r="I17" s="49" t="s">
        <v>58</v>
      </c>
      <c r="J17" s="45">
        <f>finance_months*finance_payment+down_payment</f>
        <v>25387.889039115573</v>
      </c>
    </row>
    <row r="18" spans="2:10" ht="12.75">
      <c r="B18" s="46"/>
      <c r="C18" s="285" t="s">
        <v>49</v>
      </c>
      <c r="D18" s="286"/>
      <c r="E18" s="60">
        <f>Fee</f>
        <v>100</v>
      </c>
      <c r="G18" s="46"/>
      <c r="H18" s="47"/>
      <c r="I18" s="49" t="s">
        <v>59</v>
      </c>
      <c r="J18" s="61">
        <f>purchase_price</f>
        <v>23425</v>
      </c>
    </row>
    <row r="19" spans="2:10" ht="13.5" thickBot="1">
      <c r="B19" s="46"/>
      <c r="C19" s="285" t="s">
        <v>50</v>
      </c>
      <c r="D19" s="286"/>
      <c r="E19" s="60">
        <f>Tire_AC_Tax</f>
        <v>125</v>
      </c>
      <c r="G19" s="46"/>
      <c r="H19" s="47"/>
      <c r="I19" s="50"/>
      <c r="J19" s="50"/>
    </row>
    <row r="20" spans="2:10" ht="13.5" thickBot="1">
      <c r="B20" s="46"/>
      <c r="C20" s="285" t="s">
        <v>52</v>
      </c>
      <c r="D20" s="286"/>
      <c r="E20" s="60">
        <f>Accessories</f>
        <v>950</v>
      </c>
      <c r="G20" s="51"/>
      <c r="H20" s="52"/>
      <c r="I20" s="53" t="s">
        <v>60</v>
      </c>
      <c r="J20" s="62">
        <f>finance_cost-purchase_cost</f>
        <v>1962.8890391155728</v>
      </c>
    </row>
    <row r="21" spans="2:10" ht="13.5" thickBot="1">
      <c r="B21" s="46"/>
      <c r="C21" s="47"/>
      <c r="D21" s="47"/>
      <c r="E21" s="63"/>
      <c r="G21" s="46"/>
      <c r="H21" s="47"/>
      <c r="I21" s="50"/>
      <c r="J21" s="50"/>
    </row>
    <row r="22" spans="2:10" ht="12.75">
      <c r="B22" s="42"/>
      <c r="C22" s="287" t="s">
        <v>61</v>
      </c>
      <c r="D22" s="288"/>
      <c r="E22" s="65">
        <f>SUM(E16:E20)</f>
        <v>22025</v>
      </c>
      <c r="G22" s="46"/>
      <c r="H22" s="47"/>
      <c r="I22" s="49" t="s">
        <v>62</v>
      </c>
      <c r="J22" s="66">
        <f>J20/finance_months*12</f>
        <v>490.7222597788932</v>
      </c>
    </row>
    <row r="23" spans="2:10" ht="12.75">
      <c r="B23" s="46"/>
      <c r="C23" s="285" t="s">
        <v>63</v>
      </c>
      <c r="D23" s="286"/>
      <c r="E23" s="60">
        <f>down_payment/1.07</f>
        <v>0</v>
      </c>
      <c r="G23" s="46"/>
      <c r="H23" s="47"/>
      <c r="I23" s="48" t="s">
        <v>64</v>
      </c>
      <c r="J23" s="67">
        <f>(finance_cost/purchase_cost)^(1/(finance_months/12))-1</f>
        <v>0.020320818390654027</v>
      </c>
    </row>
    <row r="24" spans="2:10" ht="13.5" thickBot="1">
      <c r="B24" s="46"/>
      <c r="C24" s="47"/>
      <c r="D24" s="58"/>
      <c r="E24" s="60"/>
      <c r="G24" s="68"/>
      <c r="H24" s="69"/>
      <c r="I24" s="70"/>
      <c r="J24" s="70"/>
    </row>
    <row r="25" spans="2:10" ht="13.5" thickBot="1">
      <c r="B25" s="42"/>
      <c r="C25" s="283" t="s">
        <v>65</v>
      </c>
      <c r="D25" s="284"/>
      <c r="E25" s="71">
        <f>E22-E23</f>
        <v>22025</v>
      </c>
      <c r="G25" s="265" t="s">
        <v>66</v>
      </c>
      <c r="H25" s="266"/>
      <c r="I25" s="266"/>
      <c r="J25" s="267"/>
    </row>
    <row r="26" spans="2:10" ht="12.75">
      <c r="B26" s="42"/>
      <c r="C26" s="43"/>
      <c r="D26" s="44"/>
      <c r="E26" s="60"/>
      <c r="G26" s="274" t="s">
        <v>67</v>
      </c>
      <c r="H26" s="275"/>
      <c r="I26" s="276"/>
      <c r="J26" s="126">
        <v>350</v>
      </c>
    </row>
    <row r="27" spans="2:10" ht="12.75">
      <c r="B27" s="101"/>
      <c r="C27" s="102"/>
      <c r="D27" s="110" t="s">
        <v>51</v>
      </c>
      <c r="E27" s="111">
        <v>48</v>
      </c>
      <c r="G27" s="46"/>
      <c r="H27" s="47"/>
      <c r="I27" s="49" t="s">
        <v>68</v>
      </c>
      <c r="J27" s="45">
        <f>lease_months*lease_payment+residual+E23</f>
        <v>26400</v>
      </c>
    </row>
    <row r="28" spans="2:10" ht="12.75">
      <c r="B28" s="46"/>
      <c r="C28" s="47"/>
      <c r="D28" s="58"/>
      <c r="E28" s="63"/>
      <c r="G28" s="46"/>
      <c r="H28" s="47"/>
      <c r="I28" s="49" t="s">
        <v>69</v>
      </c>
      <c r="J28" s="61">
        <f>leasing_cost*1.07</f>
        <v>28248</v>
      </c>
    </row>
    <row r="29" spans="2:10" ht="13.5" thickBot="1">
      <c r="B29" s="112"/>
      <c r="C29" s="113"/>
      <c r="D29" s="114" t="s">
        <v>70</v>
      </c>
      <c r="E29" s="115">
        <v>0.48</v>
      </c>
      <c r="G29" s="46"/>
      <c r="H29" s="47"/>
      <c r="I29" s="49" t="s">
        <v>59</v>
      </c>
      <c r="J29" s="61">
        <f>purchase_price</f>
        <v>23425</v>
      </c>
    </row>
    <row r="30" spans="2:10" ht="13.5" thickBot="1">
      <c r="B30" s="51"/>
      <c r="C30" s="52"/>
      <c r="D30" s="53" t="s">
        <v>71</v>
      </c>
      <c r="E30" s="71">
        <f>MSRP*residual_rate</f>
        <v>9600</v>
      </c>
      <c r="G30" s="46"/>
      <c r="H30" s="47"/>
      <c r="I30" s="50"/>
      <c r="J30" s="50"/>
    </row>
    <row r="31" spans="2:10" ht="13.5" thickBot="1">
      <c r="B31" s="46"/>
      <c r="C31" s="47"/>
      <c r="D31" s="47"/>
      <c r="E31" s="50"/>
      <c r="G31" s="51"/>
      <c r="H31" s="52"/>
      <c r="I31" s="53" t="s">
        <v>72</v>
      </c>
      <c r="J31" s="71">
        <f>final_lease_cost-purchase_cost</f>
        <v>4823</v>
      </c>
    </row>
    <row r="32" spans="2:10" ht="14.25" customHeight="1" thickBot="1">
      <c r="B32" s="265" t="s">
        <v>73</v>
      </c>
      <c r="C32" s="266"/>
      <c r="D32" s="265" t="s">
        <v>74</v>
      </c>
      <c r="E32" s="267"/>
      <c r="G32" s="46"/>
      <c r="H32" s="47"/>
      <c r="I32" s="50"/>
      <c r="J32" s="50"/>
    </row>
    <row r="33" spans="2:10" ht="28.5" customHeight="1" thickBot="1">
      <c r="B33" s="121" t="s">
        <v>75</v>
      </c>
      <c r="C33" s="122">
        <v>350</v>
      </c>
      <c r="D33" s="116" t="s">
        <v>76</v>
      </c>
      <c r="E33" s="117">
        <v>0.6889</v>
      </c>
      <c r="G33" s="46"/>
      <c r="H33" s="47"/>
      <c r="I33" s="49" t="s">
        <v>62</v>
      </c>
      <c r="J33" s="66">
        <f>lease_interest/finance_months*12</f>
        <v>1205.75</v>
      </c>
    </row>
    <row r="34" spans="2:10" ht="64.5" thickBot="1">
      <c r="B34" s="72" t="s">
        <v>77</v>
      </c>
      <c r="C34" s="73">
        <f>RATE(lease_months,-C33,lease_amount,-residual,1)*12</f>
        <v>0.0688934544442929</v>
      </c>
      <c r="D34" s="72" t="s">
        <v>78</v>
      </c>
      <c r="E34" s="74">
        <f>PMT(E33/12,lease_months,-lease_amount,residual,1)</f>
        <v>1245.458356014348</v>
      </c>
      <c r="G34" s="46"/>
      <c r="H34" s="47"/>
      <c r="I34" s="48" t="s">
        <v>64</v>
      </c>
      <c r="J34" s="67">
        <f>(final_lease_cost/purchase_cost)^(1/(lease_months/12))-1</f>
        <v>0.04791733882955196</v>
      </c>
    </row>
    <row r="35" spans="2:10" ht="27.75" customHeight="1" thickBot="1">
      <c r="B35" s="75" t="s">
        <v>79</v>
      </c>
      <c r="C35" s="76">
        <f>C33*1.07</f>
        <v>374.5</v>
      </c>
      <c r="D35" s="75" t="s">
        <v>79</v>
      </c>
      <c r="E35" s="77">
        <f>E34*1.07</f>
        <v>1332.6404409353524</v>
      </c>
      <c r="G35" s="68"/>
      <c r="H35" s="69"/>
      <c r="I35" s="70"/>
      <c r="J35" s="70"/>
    </row>
    <row r="36" spans="7:10" ht="13.5" thickBot="1">
      <c r="G36" s="265" t="s">
        <v>80</v>
      </c>
      <c r="H36" s="266"/>
      <c r="I36" s="266"/>
      <c r="J36" s="267"/>
    </row>
    <row r="37" spans="2:10" ht="15.75">
      <c r="B37" s="78" t="s">
        <v>13</v>
      </c>
      <c r="C37" s="43"/>
      <c r="D37" s="43"/>
      <c r="E37" s="79"/>
      <c r="G37" s="42"/>
      <c r="H37" s="43"/>
      <c r="I37" s="44" t="s">
        <v>70</v>
      </c>
      <c r="J37" s="55">
        <f>residual_rate</f>
        <v>0.48</v>
      </c>
    </row>
    <row r="38" spans="2:10" ht="12.75">
      <c r="B38" s="46"/>
      <c r="C38" s="47"/>
      <c r="D38" s="47"/>
      <c r="E38" s="50"/>
      <c r="G38" s="46"/>
      <c r="H38" s="47"/>
      <c r="I38" s="49" t="s">
        <v>81</v>
      </c>
      <c r="J38" s="50">
        <f>lease_months</f>
        <v>48</v>
      </c>
    </row>
    <row r="39" spans="2:10" ht="12.75">
      <c r="B39" s="264" t="s">
        <v>82</v>
      </c>
      <c r="C39" s="262"/>
      <c r="D39" s="262" t="s">
        <v>83</v>
      </c>
      <c r="E39" s="263"/>
      <c r="G39" s="46"/>
      <c r="H39" s="47"/>
      <c r="I39" s="48" t="s">
        <v>84</v>
      </c>
      <c r="J39" s="67">
        <f>(100%-residual_rate)/lease_months*12</f>
        <v>0.13</v>
      </c>
    </row>
    <row r="40" spans="2:10" ht="12.75">
      <c r="B40" s="264" t="s">
        <v>85</v>
      </c>
      <c r="C40" s="262"/>
      <c r="D40" s="262" t="s">
        <v>86</v>
      </c>
      <c r="E40" s="263"/>
      <c r="G40" s="46"/>
      <c r="H40" s="47"/>
      <c r="I40" s="50"/>
      <c r="J40" s="50"/>
    </row>
    <row r="41" spans="2:10" ht="12.75">
      <c r="B41" s="264" t="s">
        <v>87</v>
      </c>
      <c r="C41" s="262"/>
      <c r="D41" s="262" t="s">
        <v>88</v>
      </c>
      <c r="E41" s="263"/>
      <c r="G41" s="277" t="s">
        <v>89</v>
      </c>
      <c r="H41" s="278"/>
      <c r="I41" s="279"/>
      <c r="J41" s="80">
        <v>4</v>
      </c>
    </row>
    <row r="42" spans="2:10" ht="13.5" thickBot="1">
      <c r="B42" s="264" t="s">
        <v>90</v>
      </c>
      <c r="C42" s="262"/>
      <c r="D42" s="262" t="s">
        <v>91</v>
      </c>
      <c r="E42" s="263"/>
      <c r="G42" s="280" t="s">
        <v>92</v>
      </c>
      <c r="H42" s="281"/>
      <c r="I42" s="282"/>
      <c r="J42" s="82">
        <f>MSRP*(100%-J41*avg_annual_depreciate_rate)</f>
        <v>9600</v>
      </c>
    </row>
    <row r="43" spans="2:5" ht="12.75">
      <c r="B43" s="264" t="s">
        <v>93</v>
      </c>
      <c r="C43" s="262"/>
      <c r="D43" s="262" t="s">
        <v>94</v>
      </c>
      <c r="E43" s="263"/>
    </row>
    <row r="44" spans="2:5" ht="12.75">
      <c r="B44" s="264" t="s">
        <v>95</v>
      </c>
      <c r="C44" s="262"/>
      <c r="D44" s="262" t="s">
        <v>96</v>
      </c>
      <c r="E44" s="263"/>
    </row>
    <row r="45" spans="2:5" ht="12.75">
      <c r="B45" s="264" t="s">
        <v>97</v>
      </c>
      <c r="C45" s="262"/>
      <c r="D45" s="262" t="s">
        <v>98</v>
      </c>
      <c r="E45" s="263"/>
    </row>
    <row r="46" spans="2:5" ht="12.75">
      <c r="B46" s="264" t="s">
        <v>99</v>
      </c>
      <c r="C46" s="262"/>
      <c r="D46" s="262" t="s">
        <v>100</v>
      </c>
      <c r="E46" s="263"/>
    </row>
    <row r="47" spans="2:5" ht="12.75">
      <c r="B47" s="264" t="s">
        <v>101</v>
      </c>
      <c r="C47" s="262"/>
      <c r="D47" s="262" t="s">
        <v>102</v>
      </c>
      <c r="E47" s="263"/>
    </row>
    <row r="48" spans="2:5" ht="12.75">
      <c r="B48" s="264" t="s">
        <v>103</v>
      </c>
      <c r="C48" s="262"/>
      <c r="D48" s="262" t="s">
        <v>104</v>
      </c>
      <c r="E48" s="263"/>
    </row>
    <row r="49" spans="2:5" ht="12.75">
      <c r="B49" s="264" t="s">
        <v>105</v>
      </c>
      <c r="C49" s="262"/>
      <c r="D49" s="262" t="s">
        <v>106</v>
      </c>
      <c r="E49" s="263"/>
    </row>
    <row r="50" spans="2:5" ht="12.75">
      <c r="B50" s="264" t="s">
        <v>107</v>
      </c>
      <c r="C50" s="262"/>
      <c r="D50" s="262" t="s">
        <v>108</v>
      </c>
      <c r="E50" s="263"/>
    </row>
    <row r="51" spans="2:5" ht="12.75">
      <c r="B51" s="46" t="s">
        <v>109</v>
      </c>
      <c r="C51" s="47"/>
      <c r="D51" s="262" t="s">
        <v>110</v>
      </c>
      <c r="E51" s="263"/>
    </row>
    <row r="52" spans="2:5" ht="13.5" thickBot="1">
      <c r="B52" s="68"/>
      <c r="C52" s="69"/>
      <c r="D52" s="69"/>
      <c r="E52" s="70"/>
    </row>
  </sheetData>
  <mergeCells count="52">
    <mergeCell ref="A1:J1"/>
    <mergeCell ref="B3:E3"/>
    <mergeCell ref="G3:J3"/>
    <mergeCell ref="B15:E15"/>
    <mergeCell ref="G15:J15"/>
    <mergeCell ref="C4:D4"/>
    <mergeCell ref="C9:D9"/>
    <mergeCell ref="C10:D10"/>
    <mergeCell ref="C12:D12"/>
    <mergeCell ref="C7:D7"/>
    <mergeCell ref="C16:D16"/>
    <mergeCell ref="G16:J16"/>
    <mergeCell ref="C17:D17"/>
    <mergeCell ref="C18:D18"/>
    <mergeCell ref="C19:D19"/>
    <mergeCell ref="C20:D20"/>
    <mergeCell ref="C22:D22"/>
    <mergeCell ref="C23:D23"/>
    <mergeCell ref="C25:D25"/>
    <mergeCell ref="G25:J25"/>
    <mergeCell ref="B39:C39"/>
    <mergeCell ref="D39:E39"/>
    <mergeCell ref="B32:C32"/>
    <mergeCell ref="D32:E32"/>
    <mergeCell ref="B42:C42"/>
    <mergeCell ref="D42:E42"/>
    <mergeCell ref="G26:I26"/>
    <mergeCell ref="G41:I41"/>
    <mergeCell ref="G42:I42"/>
    <mergeCell ref="B40:C40"/>
    <mergeCell ref="D40:E40"/>
    <mergeCell ref="B41:C41"/>
    <mergeCell ref="D41:E41"/>
    <mergeCell ref="G36:J36"/>
    <mergeCell ref="B43:C43"/>
    <mergeCell ref="D43:E43"/>
    <mergeCell ref="B44:C44"/>
    <mergeCell ref="D44:E44"/>
    <mergeCell ref="B45:C45"/>
    <mergeCell ref="D45:E45"/>
    <mergeCell ref="B46:C46"/>
    <mergeCell ref="D46:E46"/>
    <mergeCell ref="C8:D8"/>
    <mergeCell ref="D51:E51"/>
    <mergeCell ref="B49:C49"/>
    <mergeCell ref="D49:E49"/>
    <mergeCell ref="B50:C50"/>
    <mergeCell ref="D50:E50"/>
    <mergeCell ref="B47:C47"/>
    <mergeCell ref="D47:E47"/>
    <mergeCell ref="B48:C48"/>
    <mergeCell ref="D48:E48"/>
  </mergeCells>
  <printOptions gridLines="1" headings="1" horizontalCentered="1" verticalCentered="1"/>
  <pageMargins left="0.8" right="0.8" top="1" bottom="1" header="0.5" footer="0.5"/>
  <pageSetup fitToHeight="1" fitToWidth="1" horizontalDpi="300" verticalDpi="300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1" sqref="A1:I1"/>
    </sheetView>
  </sheetViews>
  <sheetFormatPr defaultColWidth="9.140625" defaultRowHeight="12.75"/>
  <cols>
    <col min="2" max="2" width="15.7109375" style="0" customWidth="1"/>
    <col min="3" max="3" width="4.7109375" style="0" customWidth="1"/>
    <col min="4" max="4" width="23.57421875" style="0" customWidth="1"/>
    <col min="5" max="5" width="11.7109375" style="0" customWidth="1"/>
    <col min="6" max="6" width="3.421875" style="0" customWidth="1"/>
    <col min="7" max="7" width="18.421875" style="0" customWidth="1"/>
    <col min="8" max="8" width="13.421875" style="0" customWidth="1"/>
    <col min="9" max="9" width="15.8515625" style="0" customWidth="1"/>
    <col min="10" max="10" width="3.00390625" style="0" customWidth="1"/>
  </cols>
  <sheetData>
    <row r="1" spans="1:9" ht="41.25">
      <c r="A1" s="268" t="s">
        <v>188</v>
      </c>
      <c r="B1" s="268"/>
      <c r="C1" s="268"/>
      <c r="D1" s="268"/>
      <c r="E1" s="268"/>
      <c r="F1" s="268"/>
      <c r="G1" s="268"/>
      <c r="H1" s="268"/>
      <c r="I1" s="268"/>
    </row>
    <row r="2" ht="13.5" thickBot="1"/>
    <row r="3" spans="1:9" ht="13.5" thickBot="1">
      <c r="A3" s="313" t="s">
        <v>111</v>
      </c>
      <c r="B3" s="315"/>
      <c r="C3" s="315"/>
      <c r="D3" s="315"/>
      <c r="E3" s="314"/>
      <c r="G3" s="319" t="s">
        <v>112</v>
      </c>
      <c r="H3" s="320"/>
      <c r="I3" s="83"/>
    </row>
    <row r="4" spans="1:9" ht="12.75">
      <c r="A4" s="324" t="s">
        <v>113</v>
      </c>
      <c r="B4" s="325"/>
      <c r="C4" s="325"/>
      <c r="D4" s="326"/>
      <c r="E4" s="185">
        <v>85000</v>
      </c>
      <c r="G4" s="293" t="s">
        <v>114</v>
      </c>
      <c r="H4" s="295"/>
      <c r="I4" s="120">
        <v>300</v>
      </c>
    </row>
    <row r="5" spans="1:9" ht="12.75">
      <c r="A5" s="321" t="s">
        <v>115</v>
      </c>
      <c r="B5" s="322"/>
      <c r="C5" s="322"/>
      <c r="D5" s="323"/>
      <c r="E5" s="191">
        <f>annual_gross_income/12</f>
        <v>7083.333333333333</v>
      </c>
      <c r="G5" s="293" t="s">
        <v>116</v>
      </c>
      <c r="H5" s="295"/>
      <c r="I5" s="120">
        <v>250</v>
      </c>
    </row>
    <row r="6" spans="1:9" ht="12.75">
      <c r="A6" s="95"/>
      <c r="B6" s="96"/>
      <c r="C6" s="96"/>
      <c r="D6" s="80"/>
      <c r="E6" s="88"/>
      <c r="G6" s="293" t="s">
        <v>117</v>
      </c>
      <c r="H6" s="295"/>
      <c r="I6" s="120">
        <v>0</v>
      </c>
    </row>
    <row r="7" spans="1:9" ht="12.75">
      <c r="A7" s="299" t="s">
        <v>118</v>
      </c>
      <c r="B7" s="318"/>
      <c r="C7" s="318"/>
      <c r="D7" s="300"/>
      <c r="E7" s="192">
        <v>0.32</v>
      </c>
      <c r="G7" s="293" t="s">
        <v>119</v>
      </c>
      <c r="H7" s="295"/>
      <c r="I7" s="120">
        <v>0</v>
      </c>
    </row>
    <row r="8" spans="1:9" ht="12.75">
      <c r="A8" s="299" t="s">
        <v>120</v>
      </c>
      <c r="B8" s="318"/>
      <c r="C8" s="318"/>
      <c r="D8" s="300"/>
      <c r="E8" s="193">
        <f>monthly_gross_income*house_expenses_rate</f>
        <v>2266.6666666666665</v>
      </c>
      <c r="G8" s="293" t="s">
        <v>121</v>
      </c>
      <c r="H8" s="295"/>
      <c r="I8" s="120">
        <v>0</v>
      </c>
    </row>
    <row r="9" spans="1:9" ht="13.5" thickBot="1">
      <c r="A9" s="95"/>
      <c r="B9" s="96"/>
      <c r="C9" s="96"/>
      <c r="D9" s="80"/>
      <c r="E9" s="88"/>
      <c r="G9" s="46"/>
      <c r="H9" s="50"/>
      <c r="I9" s="45"/>
    </row>
    <row r="10" spans="1:9" ht="13.5" thickBot="1">
      <c r="A10" s="307" t="s">
        <v>122</v>
      </c>
      <c r="B10" s="308"/>
      <c r="C10" s="308"/>
      <c r="D10" s="309"/>
      <c r="E10" s="195">
        <v>0.4</v>
      </c>
      <c r="G10" s="319" t="s">
        <v>123</v>
      </c>
      <c r="H10" s="320"/>
      <c r="I10" s="197">
        <f>car_payments+credit_cards+personal_loans+student_loans+other_liability</f>
        <v>550</v>
      </c>
    </row>
    <row r="11" spans="1:5" ht="12.75">
      <c r="A11" s="307" t="s">
        <v>124</v>
      </c>
      <c r="B11" s="308"/>
      <c r="C11" s="308"/>
      <c r="D11" s="309"/>
      <c r="E11" s="196">
        <f>monthly_gross_income*max_liability_rate</f>
        <v>2833.3333333333335</v>
      </c>
    </row>
    <row r="12" spans="1:5" ht="13.5" thickBot="1">
      <c r="A12" s="310" t="s">
        <v>125</v>
      </c>
      <c r="B12" s="311"/>
      <c r="C12" s="311"/>
      <c r="D12" s="312"/>
      <c r="E12" s="186">
        <f>max_liability-total_liability</f>
        <v>2283.3333333333335</v>
      </c>
    </row>
    <row r="13" spans="1:9" ht="13.5" thickBot="1">
      <c r="A13" s="187"/>
      <c r="B13" s="188"/>
      <c r="C13" s="188"/>
      <c r="D13" s="189"/>
      <c r="E13" s="89"/>
      <c r="G13" s="313" t="s">
        <v>126</v>
      </c>
      <c r="H13" s="314"/>
      <c r="I13" s="83"/>
    </row>
    <row r="14" spans="1:9" ht="13.5" thickBot="1">
      <c r="A14" s="313" t="s">
        <v>127</v>
      </c>
      <c r="B14" s="315"/>
      <c r="C14" s="315"/>
      <c r="D14" s="314"/>
      <c r="E14" s="190">
        <f>MIN(max_house_expenses,liability_difference)</f>
        <v>2266.6666666666665</v>
      </c>
      <c r="G14" s="316" t="s">
        <v>128</v>
      </c>
      <c r="H14" s="317"/>
      <c r="I14" s="201">
        <v>25</v>
      </c>
    </row>
    <row r="15" spans="1:9" ht="12.75">
      <c r="A15" s="46"/>
      <c r="B15" s="47"/>
      <c r="C15" s="47"/>
      <c r="D15" s="50"/>
      <c r="E15" s="63"/>
      <c r="G15" s="303" t="s">
        <v>129</v>
      </c>
      <c r="H15" s="304"/>
      <c r="I15" s="205">
        <v>0.0775</v>
      </c>
    </row>
    <row r="16" spans="1:9" ht="13.5" thickBot="1">
      <c r="A16" s="293" t="s">
        <v>130</v>
      </c>
      <c r="B16" s="294"/>
      <c r="C16" s="294"/>
      <c r="D16" s="295"/>
      <c r="E16" s="199">
        <v>6.791</v>
      </c>
      <c r="G16" s="264" t="s">
        <v>131</v>
      </c>
      <c r="H16" s="263"/>
      <c r="I16" s="206">
        <f>EXP(2/12*LN(mortgage_rate/2+1))-1</f>
        <v>0.006356461629439369</v>
      </c>
    </row>
    <row r="17" spans="1:9" ht="13.5" thickBot="1">
      <c r="A17" s="293" t="s">
        <v>132</v>
      </c>
      <c r="B17" s="294"/>
      <c r="C17" s="294"/>
      <c r="D17" s="295"/>
      <c r="E17" s="198">
        <v>180</v>
      </c>
      <c r="G17" s="305" t="s">
        <v>133</v>
      </c>
      <c r="H17" s="306"/>
      <c r="I17" s="202">
        <f>(-max_mortgage_Pmt/Eff_rate)*(1/((1+Eff_rate)^(amortization*12))-1)</f>
        <v>265838.4618183348</v>
      </c>
    </row>
    <row r="18" spans="1:9" ht="13.5" thickBot="1">
      <c r="A18" s="293" t="s">
        <v>134</v>
      </c>
      <c r="B18" s="294"/>
      <c r="C18" s="294"/>
      <c r="D18" s="295"/>
      <c r="E18" s="198">
        <v>100</v>
      </c>
      <c r="G18" s="46"/>
      <c r="H18" s="50"/>
      <c r="I18" s="50"/>
    </row>
    <row r="19" spans="1:9" ht="13.5" thickBot="1">
      <c r="A19" s="296" t="s">
        <v>173</v>
      </c>
      <c r="B19" s="297"/>
      <c r="C19" s="297"/>
      <c r="D19" s="298"/>
      <c r="E19" s="200">
        <f>E14-E17-heating</f>
        <v>1986.6666666666665</v>
      </c>
      <c r="G19" s="299" t="s">
        <v>135</v>
      </c>
      <c r="H19" s="300"/>
      <c r="I19" s="203">
        <f>max_mortgage*mill_rate/1000</f>
        <v>1805.3089942083118</v>
      </c>
    </row>
    <row r="20" spans="1:9" ht="13.5" thickBot="1">
      <c r="A20" s="47"/>
      <c r="B20" s="47"/>
      <c r="C20" s="47"/>
      <c r="D20" s="47"/>
      <c r="E20" s="47"/>
      <c r="G20" s="301" t="s">
        <v>136</v>
      </c>
      <c r="H20" s="302"/>
      <c r="I20" s="204">
        <f>annual_prop_tax/12</f>
        <v>150.44241618402597</v>
      </c>
    </row>
    <row r="21" spans="1:9" ht="13.5" thickBot="1">
      <c r="A21" s="47"/>
      <c r="B21" s="47"/>
      <c r="C21" s="47"/>
      <c r="D21" s="47"/>
      <c r="E21" s="47"/>
      <c r="G21" s="194"/>
      <c r="H21" s="194"/>
      <c r="I21" s="207"/>
    </row>
    <row r="22" spans="1:9" ht="12.75">
      <c r="A22" s="84" t="s">
        <v>13</v>
      </c>
      <c r="B22" s="43"/>
      <c r="C22" s="43"/>
      <c r="D22" s="43"/>
      <c r="E22" s="43"/>
      <c r="F22" s="43"/>
      <c r="G22" s="43"/>
      <c r="H22" s="43"/>
      <c r="I22" s="79"/>
    </row>
    <row r="23" spans="1:9" ht="12.75">
      <c r="A23" s="46" t="s">
        <v>137</v>
      </c>
      <c r="B23" s="47"/>
      <c r="C23" s="47"/>
      <c r="D23" s="47" t="s">
        <v>143</v>
      </c>
      <c r="E23" s="47"/>
      <c r="F23" s="47"/>
      <c r="G23" s="47" t="s">
        <v>174</v>
      </c>
      <c r="H23" s="47" t="s">
        <v>180</v>
      </c>
      <c r="I23" s="50"/>
    </row>
    <row r="24" spans="1:9" ht="12.75">
      <c r="A24" s="46" t="s">
        <v>138</v>
      </c>
      <c r="B24" s="47"/>
      <c r="C24" s="47"/>
      <c r="D24" s="47" t="s">
        <v>144</v>
      </c>
      <c r="E24" s="47"/>
      <c r="F24" s="47"/>
      <c r="G24" s="47" t="s">
        <v>175</v>
      </c>
      <c r="H24" s="47" t="s">
        <v>181</v>
      </c>
      <c r="I24" s="50"/>
    </row>
    <row r="25" spans="1:9" ht="12.75">
      <c r="A25" s="46" t="s">
        <v>139</v>
      </c>
      <c r="B25" s="47"/>
      <c r="C25" s="47"/>
      <c r="D25" s="47" t="s">
        <v>145</v>
      </c>
      <c r="E25" s="47"/>
      <c r="F25" s="47"/>
      <c r="G25" s="47" t="s">
        <v>176</v>
      </c>
      <c r="H25" s="47" t="s">
        <v>182</v>
      </c>
      <c r="I25" s="50"/>
    </row>
    <row r="26" spans="1:9" ht="12.75">
      <c r="A26" s="46" t="s">
        <v>140</v>
      </c>
      <c r="B26" s="47"/>
      <c r="C26" s="47"/>
      <c r="D26" s="47" t="s">
        <v>146</v>
      </c>
      <c r="E26" s="47"/>
      <c r="F26" s="47"/>
      <c r="G26" s="47" t="s">
        <v>177</v>
      </c>
      <c r="H26" s="47" t="s">
        <v>183</v>
      </c>
      <c r="I26" s="50"/>
    </row>
    <row r="27" spans="1:9" ht="12.75">
      <c r="A27" s="46" t="s">
        <v>141</v>
      </c>
      <c r="B27" s="47"/>
      <c r="C27" s="47"/>
      <c r="D27" s="47" t="s">
        <v>147</v>
      </c>
      <c r="E27" s="47"/>
      <c r="F27" s="47"/>
      <c r="G27" s="47" t="s">
        <v>178</v>
      </c>
      <c r="H27" s="47" t="s">
        <v>184</v>
      </c>
      <c r="I27" s="50"/>
    </row>
    <row r="28" spans="1:9" ht="13.5" thickBot="1">
      <c r="A28" s="68" t="s">
        <v>142</v>
      </c>
      <c r="B28" s="69"/>
      <c r="C28" s="69"/>
      <c r="D28" s="69"/>
      <c r="E28" s="69"/>
      <c r="F28" s="69"/>
      <c r="G28" s="69" t="s">
        <v>179</v>
      </c>
      <c r="H28" s="69" t="s">
        <v>185</v>
      </c>
      <c r="I28" s="70"/>
    </row>
    <row r="29" spans="1:5" ht="12.75">
      <c r="A29" s="47"/>
      <c r="B29" s="47"/>
      <c r="C29" s="47"/>
      <c r="D29" s="47"/>
      <c r="E29" s="47"/>
    </row>
    <row r="30" spans="1:5" ht="12.75">
      <c r="A30" s="47"/>
      <c r="B30" s="47"/>
      <c r="C30" s="47"/>
      <c r="D30" s="47"/>
      <c r="E30" s="47"/>
    </row>
    <row r="31" spans="1:5" ht="12.75">
      <c r="A31" s="47"/>
      <c r="B31" s="47"/>
      <c r="C31" s="47"/>
      <c r="D31" s="47"/>
      <c r="E31" s="47"/>
    </row>
    <row r="32" spans="1:5" ht="12.75">
      <c r="A32" s="47"/>
      <c r="B32" s="47"/>
      <c r="C32" s="47"/>
      <c r="D32" s="47"/>
      <c r="E32" s="47"/>
    </row>
    <row r="33" spans="1:5" ht="12.75">
      <c r="A33" s="47"/>
      <c r="B33" s="47"/>
      <c r="C33" s="47"/>
      <c r="D33" s="47"/>
      <c r="E33" s="47"/>
    </row>
    <row r="34" spans="1:5" ht="12.75">
      <c r="A34" s="47"/>
      <c r="B34" s="47"/>
      <c r="C34" s="47"/>
      <c r="D34" s="47"/>
      <c r="E34" s="47"/>
    </row>
    <row r="36" ht="12.75">
      <c r="A36" s="85"/>
    </row>
  </sheetData>
  <mergeCells count="28">
    <mergeCell ref="A1:I1"/>
    <mergeCell ref="A3:E3"/>
    <mergeCell ref="G3:H3"/>
    <mergeCell ref="A4:D4"/>
    <mergeCell ref="G4:H4"/>
    <mergeCell ref="A5:D5"/>
    <mergeCell ref="G5:H5"/>
    <mergeCell ref="G6:H6"/>
    <mergeCell ref="A7:D7"/>
    <mergeCell ref="G7:H7"/>
    <mergeCell ref="A8:D8"/>
    <mergeCell ref="G8:H8"/>
    <mergeCell ref="A10:D10"/>
    <mergeCell ref="G10:H10"/>
    <mergeCell ref="A11:D11"/>
    <mergeCell ref="A12:D12"/>
    <mergeCell ref="G13:H13"/>
    <mergeCell ref="A14:D14"/>
    <mergeCell ref="G14:H14"/>
    <mergeCell ref="G15:H15"/>
    <mergeCell ref="A16:D16"/>
    <mergeCell ref="G16:H16"/>
    <mergeCell ref="A17:D17"/>
    <mergeCell ref="G17:H17"/>
    <mergeCell ref="A18:D18"/>
    <mergeCell ref="A19:D19"/>
    <mergeCell ref="G19:H19"/>
    <mergeCell ref="G20:H20"/>
  </mergeCells>
  <printOptions gridLines="1" headings="1" horizontalCentered="1" verticalCentered="1"/>
  <pageMargins left="1" right="1" top="1" bottom="1" header="0.5" footer="0.5"/>
  <pageSetup fitToHeight="1" fitToWidth="1" horizontalDpi="300" verticalDpi="3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Formulas="1" workbookViewId="0" topLeftCell="A17">
      <selection activeCell="E30" sqref="E30"/>
    </sheetView>
  </sheetViews>
  <sheetFormatPr defaultColWidth="9.140625" defaultRowHeight="12.75"/>
  <cols>
    <col min="1" max="1" width="12.421875" style="0" customWidth="1"/>
    <col min="2" max="3" width="1.57421875" style="0" customWidth="1"/>
    <col min="4" max="4" width="11.7109375" style="0" customWidth="1"/>
    <col min="5" max="5" width="22.00390625" style="0" customWidth="1"/>
    <col min="6" max="6" width="1.421875" style="0" customWidth="1"/>
    <col min="7" max="7" width="15.7109375" style="0" customWidth="1"/>
    <col min="8" max="8" width="10.140625" style="0" customWidth="1"/>
    <col min="9" max="9" width="34.421875" style="0" customWidth="1"/>
    <col min="10" max="10" width="1.421875" style="0" customWidth="1"/>
  </cols>
  <sheetData>
    <row r="1" spans="1:9" ht="41.25">
      <c r="A1" s="268" t="s">
        <v>188</v>
      </c>
      <c r="B1" s="268"/>
      <c r="C1" s="268"/>
      <c r="D1" s="268"/>
      <c r="E1" s="268"/>
      <c r="F1" s="268"/>
      <c r="G1" s="268"/>
      <c r="H1" s="268"/>
      <c r="I1" s="268"/>
    </row>
    <row r="2" ht="13.5" thickBot="1"/>
    <row r="3" spans="1:9" ht="13.5" thickBot="1">
      <c r="A3" s="313" t="s">
        <v>111</v>
      </c>
      <c r="B3" s="315"/>
      <c r="C3" s="315"/>
      <c r="D3" s="315"/>
      <c r="E3" s="314"/>
      <c r="G3" s="319" t="s">
        <v>112</v>
      </c>
      <c r="H3" s="320"/>
      <c r="I3" s="83"/>
    </row>
    <row r="4" spans="1:9" ht="12.75">
      <c r="A4" s="324" t="s">
        <v>113</v>
      </c>
      <c r="B4" s="325"/>
      <c r="C4" s="325"/>
      <c r="D4" s="326"/>
      <c r="E4" s="185">
        <v>85000</v>
      </c>
      <c r="G4" s="293" t="s">
        <v>114</v>
      </c>
      <c r="H4" s="295"/>
      <c r="I4" s="120">
        <v>300</v>
      </c>
    </row>
    <row r="5" spans="1:9" ht="12.75">
      <c r="A5" s="321" t="s">
        <v>115</v>
      </c>
      <c r="B5" s="322"/>
      <c r="C5" s="322"/>
      <c r="D5" s="323"/>
      <c r="E5" s="191">
        <f>annual_gross_income/12</f>
        <v>7083.333333333333</v>
      </c>
      <c r="G5" s="293" t="s">
        <v>116</v>
      </c>
      <c r="H5" s="295"/>
      <c r="I5" s="120">
        <v>250</v>
      </c>
    </row>
    <row r="6" spans="1:9" ht="12.75">
      <c r="A6" s="95"/>
      <c r="B6" s="96"/>
      <c r="C6" s="96"/>
      <c r="D6" s="80"/>
      <c r="E6" s="88"/>
      <c r="G6" s="293" t="s">
        <v>117</v>
      </c>
      <c r="H6" s="295"/>
      <c r="I6" s="120">
        <v>0</v>
      </c>
    </row>
    <row r="7" spans="1:9" ht="12.75">
      <c r="A7" s="299" t="s">
        <v>118</v>
      </c>
      <c r="B7" s="318"/>
      <c r="C7" s="318"/>
      <c r="D7" s="300"/>
      <c r="E7" s="192">
        <v>0.32</v>
      </c>
      <c r="G7" s="293" t="s">
        <v>119</v>
      </c>
      <c r="H7" s="295"/>
      <c r="I7" s="120">
        <v>0</v>
      </c>
    </row>
    <row r="8" spans="1:9" ht="12.75">
      <c r="A8" s="299" t="s">
        <v>120</v>
      </c>
      <c r="B8" s="318"/>
      <c r="C8" s="318"/>
      <c r="D8" s="300"/>
      <c r="E8" s="193">
        <f>monthly_gross_income*house_expenses_rate</f>
        <v>2266.6666666666665</v>
      </c>
      <c r="G8" s="293" t="s">
        <v>121</v>
      </c>
      <c r="H8" s="295"/>
      <c r="I8" s="120">
        <v>0</v>
      </c>
    </row>
    <row r="9" spans="1:9" ht="13.5" thickBot="1">
      <c r="A9" s="95"/>
      <c r="B9" s="96"/>
      <c r="C9" s="96"/>
      <c r="D9" s="80"/>
      <c r="E9" s="88"/>
      <c r="G9" s="46"/>
      <c r="H9" s="50"/>
      <c r="I9" s="45"/>
    </row>
    <row r="10" spans="1:9" ht="13.5" thickBot="1">
      <c r="A10" s="307" t="s">
        <v>122</v>
      </c>
      <c r="B10" s="308"/>
      <c r="C10" s="308"/>
      <c r="D10" s="309"/>
      <c r="E10" s="195">
        <v>0.4</v>
      </c>
      <c r="G10" s="319" t="s">
        <v>123</v>
      </c>
      <c r="H10" s="320"/>
      <c r="I10" s="197">
        <f>car_payments+credit_cards+personal_loans+student_loans+other_liability</f>
        <v>550</v>
      </c>
    </row>
    <row r="11" spans="1:5" ht="12.75">
      <c r="A11" s="307" t="s">
        <v>124</v>
      </c>
      <c r="B11" s="308"/>
      <c r="C11" s="308"/>
      <c r="D11" s="309"/>
      <c r="E11" s="196">
        <f>monthly_gross_income*max_liability_rate</f>
        <v>2833.3333333333335</v>
      </c>
    </row>
    <row r="12" spans="1:5" ht="13.5" thickBot="1">
      <c r="A12" s="310" t="s">
        <v>125</v>
      </c>
      <c r="B12" s="311"/>
      <c r="C12" s="311"/>
      <c r="D12" s="312"/>
      <c r="E12" s="186">
        <f>max_liability-total_liability</f>
        <v>2283.3333333333335</v>
      </c>
    </row>
    <row r="13" spans="1:9" ht="13.5" thickBot="1">
      <c r="A13" s="187"/>
      <c r="B13" s="188"/>
      <c r="C13" s="188"/>
      <c r="D13" s="189"/>
      <c r="E13" s="89"/>
      <c r="G13" s="313" t="s">
        <v>126</v>
      </c>
      <c r="H13" s="314"/>
      <c r="I13" s="83"/>
    </row>
    <row r="14" spans="1:9" ht="13.5" thickBot="1">
      <c r="A14" s="313" t="s">
        <v>127</v>
      </c>
      <c r="B14" s="315"/>
      <c r="C14" s="315"/>
      <c r="D14" s="314"/>
      <c r="E14" s="190">
        <f>MIN(max_house_expenses,liability_difference)</f>
        <v>2266.6666666666665</v>
      </c>
      <c r="G14" s="316" t="s">
        <v>128</v>
      </c>
      <c r="H14" s="317"/>
      <c r="I14" s="201">
        <v>25</v>
      </c>
    </row>
    <row r="15" spans="1:9" ht="12.75">
      <c r="A15" s="46"/>
      <c r="B15" s="47"/>
      <c r="C15" s="47"/>
      <c r="D15" s="50"/>
      <c r="E15" s="63"/>
      <c r="G15" s="303" t="s">
        <v>129</v>
      </c>
      <c r="H15" s="304"/>
      <c r="I15" s="205">
        <v>0.0775</v>
      </c>
    </row>
    <row r="16" spans="1:9" ht="13.5" thickBot="1">
      <c r="A16" s="293" t="s">
        <v>130</v>
      </c>
      <c r="B16" s="294"/>
      <c r="C16" s="294"/>
      <c r="D16" s="295"/>
      <c r="E16" s="199">
        <v>6.791</v>
      </c>
      <c r="G16" s="264" t="s">
        <v>131</v>
      </c>
      <c r="H16" s="263"/>
      <c r="I16" s="206">
        <f>EXP(2/12*LN(mortgage_rate/2+1))-1</f>
        <v>0.006356461629439369</v>
      </c>
    </row>
    <row r="17" spans="1:9" ht="13.5" thickBot="1">
      <c r="A17" s="293" t="s">
        <v>132</v>
      </c>
      <c r="B17" s="294"/>
      <c r="C17" s="294"/>
      <c r="D17" s="295"/>
      <c r="E17" s="198">
        <v>180</v>
      </c>
      <c r="G17" s="305" t="s">
        <v>133</v>
      </c>
      <c r="H17" s="306"/>
      <c r="I17" s="202">
        <f>(-max_mortgage_Pmt/Eff_rate)*(1/((1+Eff_rate)^(amortization*12))-1)</f>
        <v>265838.4618183348</v>
      </c>
    </row>
    <row r="18" spans="1:9" ht="13.5" thickBot="1">
      <c r="A18" s="293" t="s">
        <v>134</v>
      </c>
      <c r="B18" s="294"/>
      <c r="C18" s="294"/>
      <c r="D18" s="295"/>
      <c r="E18" s="198">
        <v>100</v>
      </c>
      <c r="G18" s="46"/>
      <c r="H18" s="50"/>
      <c r="I18" s="50"/>
    </row>
    <row r="19" spans="1:9" ht="13.5" thickBot="1">
      <c r="A19" s="296" t="s">
        <v>173</v>
      </c>
      <c r="B19" s="297"/>
      <c r="C19" s="297"/>
      <c r="D19" s="298"/>
      <c r="E19" s="200">
        <f>E14-E17-heating</f>
        <v>1986.6666666666665</v>
      </c>
      <c r="G19" s="299" t="s">
        <v>135</v>
      </c>
      <c r="H19" s="300"/>
      <c r="I19" s="203">
        <f>max_mortgage*mill_rate/1000</f>
        <v>1805.3089942083118</v>
      </c>
    </row>
    <row r="20" spans="1:9" ht="13.5" thickBot="1">
      <c r="A20" s="47"/>
      <c r="B20" s="47"/>
      <c r="C20" s="47"/>
      <c r="D20" s="47"/>
      <c r="E20" s="47"/>
      <c r="G20" s="301" t="s">
        <v>136</v>
      </c>
      <c r="H20" s="302"/>
      <c r="I20" s="204">
        <f>annual_prop_tax/12</f>
        <v>150.44241618402597</v>
      </c>
    </row>
    <row r="21" spans="1:9" ht="13.5" thickBot="1">
      <c r="A21" s="47"/>
      <c r="B21" s="47"/>
      <c r="C21" s="47"/>
      <c r="D21" s="47"/>
      <c r="E21" s="47"/>
      <c r="G21" s="194"/>
      <c r="H21" s="194"/>
      <c r="I21" s="207"/>
    </row>
    <row r="22" spans="1:9" ht="12.75">
      <c r="A22" s="84" t="s">
        <v>13</v>
      </c>
      <c r="B22" s="43"/>
      <c r="C22" s="43"/>
      <c r="D22" s="43"/>
      <c r="E22" s="43"/>
      <c r="F22" s="43"/>
      <c r="G22" s="43"/>
      <c r="H22" s="43"/>
      <c r="I22" s="79"/>
    </row>
    <row r="23" spans="1:9" ht="12.75">
      <c r="A23" s="46" t="s">
        <v>137</v>
      </c>
      <c r="B23" s="47"/>
      <c r="C23" s="47"/>
      <c r="D23" s="47" t="s">
        <v>143</v>
      </c>
      <c r="E23" s="47"/>
      <c r="F23" s="47"/>
      <c r="G23" s="47" t="s">
        <v>174</v>
      </c>
      <c r="H23" s="47" t="s">
        <v>180</v>
      </c>
      <c r="I23" s="50"/>
    </row>
    <row r="24" spans="1:9" ht="12.75">
      <c r="A24" s="46" t="s">
        <v>138</v>
      </c>
      <c r="B24" s="47"/>
      <c r="C24" s="47"/>
      <c r="D24" s="47" t="s">
        <v>144</v>
      </c>
      <c r="E24" s="47"/>
      <c r="F24" s="47"/>
      <c r="G24" s="47" t="s">
        <v>175</v>
      </c>
      <c r="H24" s="47" t="s">
        <v>181</v>
      </c>
      <c r="I24" s="50"/>
    </row>
    <row r="25" spans="1:9" ht="12.75">
      <c r="A25" s="46" t="s">
        <v>139</v>
      </c>
      <c r="B25" s="47"/>
      <c r="C25" s="47"/>
      <c r="D25" s="47" t="s">
        <v>145</v>
      </c>
      <c r="E25" s="47"/>
      <c r="F25" s="47"/>
      <c r="G25" s="47" t="s">
        <v>176</v>
      </c>
      <c r="H25" s="47" t="s">
        <v>182</v>
      </c>
      <c r="I25" s="50"/>
    </row>
    <row r="26" spans="1:9" ht="12.75">
      <c r="A26" s="46" t="s">
        <v>140</v>
      </c>
      <c r="B26" s="47"/>
      <c r="C26" s="47"/>
      <c r="D26" s="47" t="s">
        <v>146</v>
      </c>
      <c r="E26" s="47"/>
      <c r="F26" s="47"/>
      <c r="G26" s="47" t="s">
        <v>177</v>
      </c>
      <c r="H26" s="47" t="s">
        <v>183</v>
      </c>
      <c r="I26" s="50"/>
    </row>
    <row r="27" spans="1:9" ht="12.75">
      <c r="A27" s="46" t="s">
        <v>141</v>
      </c>
      <c r="B27" s="47"/>
      <c r="C27" s="47"/>
      <c r="D27" s="47" t="s">
        <v>147</v>
      </c>
      <c r="E27" s="47"/>
      <c r="F27" s="47"/>
      <c r="G27" s="47" t="s">
        <v>178</v>
      </c>
      <c r="H27" s="47" t="s">
        <v>184</v>
      </c>
      <c r="I27" s="50"/>
    </row>
    <row r="28" spans="1:9" ht="13.5" thickBot="1">
      <c r="A28" s="68" t="s">
        <v>142</v>
      </c>
      <c r="B28" s="69"/>
      <c r="C28" s="69"/>
      <c r="D28" s="69"/>
      <c r="E28" s="69"/>
      <c r="F28" s="69"/>
      <c r="G28" s="69" t="s">
        <v>179</v>
      </c>
      <c r="H28" s="69" t="s">
        <v>185</v>
      </c>
      <c r="I28" s="70"/>
    </row>
    <row r="29" spans="1:5" ht="12.75">
      <c r="A29" s="47"/>
      <c r="B29" s="47"/>
      <c r="C29" s="47"/>
      <c r="D29" s="47"/>
      <c r="E29" s="47"/>
    </row>
    <row r="30" spans="1:5" ht="12.75">
      <c r="A30" s="47"/>
      <c r="B30" s="47"/>
      <c r="C30" s="47"/>
      <c r="D30" s="47"/>
      <c r="E30" s="47"/>
    </row>
    <row r="31" spans="1:5" ht="12.75">
      <c r="A31" s="47"/>
      <c r="B31" s="47"/>
      <c r="C31" s="47"/>
      <c r="D31" s="47"/>
      <c r="E31" s="47"/>
    </row>
    <row r="32" spans="1:5" ht="12.75">
      <c r="A32" s="47"/>
      <c r="B32" s="47"/>
      <c r="C32" s="47"/>
      <c r="D32" s="47"/>
      <c r="E32" s="47"/>
    </row>
    <row r="33" spans="1:5" ht="12.75">
      <c r="A33" s="47"/>
      <c r="B33" s="47"/>
      <c r="C33" s="47"/>
      <c r="D33" s="47"/>
      <c r="E33" s="47"/>
    </row>
    <row r="34" spans="1:5" ht="12.75">
      <c r="A34" s="47"/>
      <c r="B34" s="47"/>
      <c r="C34" s="47"/>
      <c r="D34" s="47"/>
      <c r="E34" s="47"/>
    </row>
    <row r="36" ht="12.75">
      <c r="A36" s="85"/>
    </row>
  </sheetData>
  <mergeCells count="28">
    <mergeCell ref="A3:E3"/>
    <mergeCell ref="A4:D4"/>
    <mergeCell ref="A1:I1"/>
    <mergeCell ref="G3:H3"/>
    <mergeCell ref="G4:H4"/>
    <mergeCell ref="A5:D5"/>
    <mergeCell ref="A7:D7"/>
    <mergeCell ref="G5:H5"/>
    <mergeCell ref="G6:H6"/>
    <mergeCell ref="G7:H7"/>
    <mergeCell ref="A8:D8"/>
    <mergeCell ref="A10:D10"/>
    <mergeCell ref="G8:H8"/>
    <mergeCell ref="G10:H10"/>
    <mergeCell ref="A11:D11"/>
    <mergeCell ref="A12:D12"/>
    <mergeCell ref="A14:D14"/>
    <mergeCell ref="G13:H13"/>
    <mergeCell ref="G14:H14"/>
    <mergeCell ref="A16:D16"/>
    <mergeCell ref="A17:D17"/>
    <mergeCell ref="G15:H15"/>
    <mergeCell ref="G16:H16"/>
    <mergeCell ref="G17:H17"/>
    <mergeCell ref="A18:D18"/>
    <mergeCell ref="A19:D19"/>
    <mergeCell ref="G19:H19"/>
    <mergeCell ref="G20:H20"/>
  </mergeCells>
  <printOptions gridLines="1" headings="1" horizontalCentered="1" verticalCentered="1"/>
  <pageMargins left="0.8" right="0.8" top="1" bottom="1" header="0.5" footer="0.5"/>
  <pageSetup fitToHeight="1" fitToWidth="1" horizontalDpi="300" verticalDpi="3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/>
  <cols>
    <col min="1" max="1" width="23.57421875" style="0" bestFit="1" customWidth="1"/>
    <col min="2" max="2" width="12.28125" style="0" bestFit="1" customWidth="1"/>
    <col min="3" max="3" width="2.57421875" style="0" customWidth="1"/>
    <col min="4" max="4" width="25.8515625" style="0" customWidth="1"/>
    <col min="5" max="5" width="12.28125" style="0" bestFit="1" customWidth="1"/>
    <col min="6" max="6" width="3.00390625" style="0" customWidth="1"/>
    <col min="7" max="7" width="12.421875" style="0" bestFit="1" customWidth="1"/>
    <col min="8" max="8" width="11.28125" style="0" bestFit="1" customWidth="1"/>
    <col min="9" max="9" width="3.28125" style="0" customWidth="1"/>
  </cols>
  <sheetData>
    <row r="1" spans="1:8" ht="37.5">
      <c r="A1" s="327" t="s">
        <v>189</v>
      </c>
      <c r="B1" s="327"/>
      <c r="C1" s="327"/>
      <c r="D1" s="327"/>
      <c r="E1" s="327"/>
      <c r="F1" s="327"/>
      <c r="G1" s="327"/>
      <c r="H1" s="327"/>
    </row>
    <row r="2" ht="13.5" thickBot="1"/>
    <row r="3" spans="1:4" ht="13.5" thickBot="1">
      <c r="A3" s="86" t="s">
        <v>111</v>
      </c>
      <c r="B3" s="52"/>
      <c r="C3" s="52"/>
      <c r="D3" s="83"/>
    </row>
    <row r="4" spans="1:4" ht="12.75">
      <c r="A4" s="208" t="s">
        <v>148</v>
      </c>
      <c r="B4" s="216">
        <v>200000</v>
      </c>
      <c r="C4" s="43"/>
      <c r="D4" s="79"/>
    </row>
    <row r="5" spans="1:4" ht="12.75">
      <c r="A5" s="209" t="s">
        <v>46</v>
      </c>
      <c r="B5" s="217">
        <v>50000</v>
      </c>
      <c r="C5" s="47"/>
      <c r="D5" s="50"/>
    </row>
    <row r="6" spans="1:4" ht="12.75">
      <c r="A6" s="88" t="s">
        <v>149</v>
      </c>
      <c r="B6" s="218">
        <f>house_price-B5</f>
        <v>150000</v>
      </c>
      <c r="C6" s="47"/>
      <c r="D6" s="50"/>
    </row>
    <row r="7" spans="1:4" ht="12.75">
      <c r="A7" s="111" t="s">
        <v>129</v>
      </c>
      <c r="B7" s="233">
        <v>0.06375</v>
      </c>
      <c r="C7" s="47"/>
      <c r="D7" s="220" t="s">
        <v>186</v>
      </c>
    </row>
    <row r="8" spans="1:4" ht="13.5" thickBot="1">
      <c r="A8" s="210" t="s">
        <v>150</v>
      </c>
      <c r="B8" s="219">
        <v>25</v>
      </c>
      <c r="C8" s="69"/>
      <c r="D8" s="70"/>
    </row>
    <row r="9" ht="13.5" thickBot="1"/>
    <row r="10" spans="1:8" ht="13.5" thickBot="1">
      <c r="A10" s="86" t="s">
        <v>151</v>
      </c>
      <c r="B10" s="83"/>
      <c r="D10" s="86" t="s">
        <v>152</v>
      </c>
      <c r="E10" s="52"/>
      <c r="F10" s="52"/>
      <c r="G10" s="52"/>
      <c r="H10" s="83"/>
    </row>
    <row r="11" spans="1:8" ht="12.75">
      <c r="A11" s="87" t="s">
        <v>131</v>
      </c>
      <c r="B11" s="50">
        <f>EXP(2/12*LN(mortgage_r/2+1))-1</f>
        <v>0.005243287452263434</v>
      </c>
      <c r="D11" s="87" t="s">
        <v>131</v>
      </c>
      <c r="E11" s="79">
        <f>EXP(2/26*LN(mortgage_r/2+1))-1</f>
        <v>0.002416571805753387</v>
      </c>
      <c r="F11" s="47"/>
      <c r="G11" s="47"/>
      <c r="H11" s="50"/>
    </row>
    <row r="12" spans="1:8" ht="12.75">
      <c r="A12" s="215" t="s">
        <v>153</v>
      </c>
      <c r="B12" s="222">
        <f>amortization*12</f>
        <v>300</v>
      </c>
      <c r="D12" s="215" t="s">
        <v>153</v>
      </c>
      <c r="E12" s="224">
        <f>LN(-biweekly_payment/(-biweekly_payment+mortgage*biweekly_Eff_rate))/LN(1+biweekly_Eff_rate)</f>
        <v>542.1474071596982</v>
      </c>
      <c r="F12" s="47"/>
      <c r="G12" s="47"/>
      <c r="H12" s="50"/>
    </row>
    <row r="13" spans="1:8" ht="13.5" thickBot="1">
      <c r="A13" s="63" t="s">
        <v>154</v>
      </c>
      <c r="B13" s="50">
        <f>amortization</f>
        <v>25</v>
      </c>
      <c r="D13" s="215" t="s">
        <v>154</v>
      </c>
      <c r="E13" s="223">
        <f>biweekly_N/26</f>
        <v>20.851823352296087</v>
      </c>
      <c r="F13" s="47"/>
      <c r="G13" s="47"/>
      <c r="H13" s="50"/>
    </row>
    <row r="14" spans="1:8" ht="13.5" thickBot="1">
      <c r="A14" s="211" t="s">
        <v>54</v>
      </c>
      <c r="B14" s="212">
        <f>monthly_Eff_rate*(mortgage+(mortgage/((1+monthly_Eff_rate)^B12-1)))</f>
        <v>993.396804021792</v>
      </c>
      <c r="D14" s="213" t="s">
        <v>155</v>
      </c>
      <c r="E14" s="214">
        <f>monthly_payment/2</f>
        <v>496.698402010896</v>
      </c>
      <c r="F14" s="47"/>
      <c r="G14" s="47"/>
      <c r="H14" s="50"/>
    </row>
    <row r="15" spans="1:8" ht="13.5" thickBot="1">
      <c r="A15" s="63"/>
      <c r="B15" s="50"/>
      <c r="D15" s="63"/>
      <c r="E15" s="50"/>
      <c r="F15" s="47"/>
      <c r="G15" s="47"/>
      <c r="H15" s="50"/>
    </row>
    <row r="16" spans="1:8" ht="12.75">
      <c r="A16" s="225" t="s">
        <v>156</v>
      </c>
      <c r="B16" s="226">
        <f>monthly_payment*monthly_N+down_payment</f>
        <v>298019.04120653763</v>
      </c>
      <c r="D16" s="225" t="s">
        <v>156</v>
      </c>
      <c r="E16" s="226">
        <f>biweekly_payment*biweekly_N+down_payment</f>
        <v>269283.7507905727</v>
      </c>
      <c r="F16" s="47"/>
      <c r="G16" s="229" t="s">
        <v>157</v>
      </c>
      <c r="H16" s="230">
        <f>B16-E16</f>
        <v>28735.290415964904</v>
      </c>
    </row>
    <row r="17" spans="1:8" ht="13.5" thickBot="1">
      <c r="A17" s="227" t="s">
        <v>158</v>
      </c>
      <c r="B17" s="228">
        <f>monthly_payment*monthly_N-mortgage</f>
        <v>148019.04120653763</v>
      </c>
      <c r="D17" s="227" t="s">
        <v>158</v>
      </c>
      <c r="E17" s="228">
        <f>biweekly_payment*biweekly_N-mortgage</f>
        <v>119283.75079057273</v>
      </c>
      <c r="F17" s="69"/>
      <c r="G17" s="231" t="s">
        <v>157</v>
      </c>
      <c r="H17" s="232">
        <f>B17-E17</f>
        <v>28735.290415964904</v>
      </c>
    </row>
    <row r="18" ht="13.5" thickBot="1"/>
    <row r="19" spans="1:4" ht="12.75">
      <c r="A19" s="84" t="s">
        <v>13</v>
      </c>
      <c r="B19" s="43"/>
      <c r="C19" s="43"/>
      <c r="D19" s="79" t="s">
        <v>163</v>
      </c>
    </row>
    <row r="20" spans="1:4" ht="12.75">
      <c r="A20" s="46" t="s">
        <v>159</v>
      </c>
      <c r="B20" s="47"/>
      <c r="C20" s="47"/>
      <c r="D20" s="50" t="s">
        <v>164</v>
      </c>
    </row>
    <row r="21" spans="1:4" ht="12.75">
      <c r="A21" s="46" t="s">
        <v>160</v>
      </c>
      <c r="B21" s="47"/>
      <c r="C21" s="47"/>
      <c r="D21" s="50" t="s">
        <v>165</v>
      </c>
    </row>
    <row r="22" spans="1:4" ht="12.75">
      <c r="A22" s="46" t="s">
        <v>161</v>
      </c>
      <c r="B22" s="47"/>
      <c r="C22" s="47"/>
      <c r="D22" s="50" t="s">
        <v>166</v>
      </c>
    </row>
    <row r="23" spans="1:4" ht="12.75">
      <c r="A23" s="46" t="s">
        <v>187</v>
      </c>
      <c r="B23" s="47"/>
      <c r="C23" s="47"/>
      <c r="D23" s="50" t="s">
        <v>167</v>
      </c>
    </row>
    <row r="24" spans="1:4" ht="13.5" thickBot="1">
      <c r="A24" s="68" t="s">
        <v>162</v>
      </c>
      <c r="B24" s="69"/>
      <c r="C24" s="69"/>
      <c r="D24" s="70" t="s">
        <v>168</v>
      </c>
    </row>
  </sheetData>
  <mergeCells count="1">
    <mergeCell ref="A1:H1"/>
  </mergeCells>
  <printOptions gridLines="1" headings="1" horizontalCentered="1" verticalCentered="1"/>
  <pageMargins left="1" right="1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Bishop Grandin High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Gabriel.Tang</dc:creator>
  <cp:keywords/>
  <dc:description/>
  <cp:lastModifiedBy>gabriel.tang</cp:lastModifiedBy>
  <cp:lastPrinted>2002-04-18T10:55:30Z</cp:lastPrinted>
  <dcterms:created xsi:type="dcterms:W3CDTF">2001-03-15T17:33:27Z</dcterms:created>
  <dcterms:modified xsi:type="dcterms:W3CDTF">2002-04-18T11:07:28Z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